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15" windowWidth="21390" windowHeight="13560" activeTab="0"/>
  </bookViews>
  <sheets>
    <sheet name="Main" sheetId="1" r:id="rId1"/>
    <sheet name="Thermal Efficiency" sheetId="2" r:id="rId2"/>
  </sheets>
  <definedNames>
    <definedName name="solver_adj" localSheetId="0" hidden="1">'Main'!$K$9</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'Main'!$I$37</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definedName>
  </definedNames>
  <calcPr fullCalcOnLoad="1"/>
</workbook>
</file>

<file path=xl/comments1.xml><?xml version="1.0" encoding="utf-8"?>
<comments xmlns="http://schemas.openxmlformats.org/spreadsheetml/2006/main">
  <authors>
    <author>Clay LaHatte</author>
    <author>Clay</author>
  </authors>
  <commentList>
    <comment ref="B9" authorId="0">
      <text>
        <r>
          <rPr>
            <b/>
            <sz val="8"/>
            <rFont val="Tahoma"/>
            <family val="2"/>
          </rPr>
          <t>Height from wrist pin center to piston top edge.</t>
        </r>
        <r>
          <rPr>
            <sz val="8"/>
            <rFont val="Tahoma"/>
            <family val="2"/>
          </rPr>
          <t xml:space="preserve">
</t>
        </r>
      </text>
    </comment>
    <comment ref="K9" authorId="0">
      <text>
        <r>
          <rPr>
            <b/>
            <sz val="8"/>
            <rFont val="Tahoma"/>
            <family val="2"/>
          </rPr>
          <t xml:space="preserve">Intake Valve Closing, Crankshaft Degrees After Bottom Dead Center (ABDC).  </t>
        </r>
      </text>
    </comment>
    <comment ref="K10" authorId="0">
      <text>
        <r>
          <rPr>
            <b/>
            <sz val="8"/>
            <rFont val="Tahoma"/>
            <family val="2"/>
          </rPr>
          <t>Account for any cam advance (-) or retard (+).</t>
        </r>
      </text>
    </comment>
    <comment ref="B11" authorId="0">
      <text>
        <r>
          <rPr>
            <b/>
            <sz val="8"/>
            <rFont val="Tahoma"/>
            <family val="2"/>
          </rPr>
          <t>If putting a value here, the Rod Length field must still be input correctly in order to properly calculate Dynamic Stroke and DCR information.</t>
        </r>
      </text>
    </comment>
    <comment ref="D6" authorId="1">
      <text>
        <r>
          <rPr>
            <b/>
            <sz val="9"/>
            <rFont val="Tahoma"/>
            <family val="2"/>
          </rPr>
          <t>This is the optimal piston to head clearance at TDC for the squish zone, based on testing (from "Engine Airflow" by Harold Bettes).
This distance will vary based on rod material, piston wall clearance (piston rock), etc. Keith Black documents suggest generally no less than 0.030". Others recommend no less than 0.050".</t>
        </r>
      </text>
    </comment>
    <comment ref="B6" authorId="1">
      <text>
        <r>
          <rPr>
            <b/>
            <sz val="9"/>
            <rFont val="Tahoma"/>
            <family val="2"/>
          </rPr>
          <t>Based on testing, the factor of bore size to optimal squish clearance is .005" (from "Engine Airflow" by Harold Bettes).</t>
        </r>
      </text>
    </comment>
    <comment ref="K31" authorId="1">
      <text>
        <r>
          <rPr>
            <b/>
            <sz val="9"/>
            <rFont val="Tahoma"/>
            <family val="2"/>
          </rPr>
          <t>Adjust this value via the 'Intake Closing Crank Degrees' field in the DCR section.</t>
        </r>
      </text>
    </comment>
    <comment ref="K44" authorId="0">
      <text>
        <r>
          <rPr>
            <b/>
            <sz val="8"/>
            <rFont val="Tahoma"/>
            <family val="2"/>
          </rPr>
          <t>Atmospheric Pressure at Sea Level is approximately 14.696 psi.</t>
        </r>
        <r>
          <rPr>
            <sz val="8"/>
            <rFont val="Tahoma"/>
            <family val="2"/>
          </rPr>
          <t xml:space="preserve">
</t>
        </r>
      </text>
    </comment>
    <comment ref="K45" authorId="0">
      <text>
        <r>
          <rPr>
            <b/>
            <sz val="8"/>
            <rFont val="Tahoma"/>
            <family val="2"/>
          </rPr>
          <t>Constant value for VE in the formula, 1.15.</t>
        </r>
      </text>
    </comment>
    <comment ref="K50" authorId="1">
      <text>
        <r>
          <rPr>
            <b/>
            <sz val="9"/>
            <rFont val="Tahoma"/>
            <family val="2"/>
          </rPr>
          <t>Basically meaningless.</t>
        </r>
      </text>
    </comment>
  </commentList>
</comments>
</file>

<file path=xl/sharedStrings.xml><?xml version="1.0" encoding="utf-8"?>
<sst xmlns="http://schemas.openxmlformats.org/spreadsheetml/2006/main" count="128" uniqueCount="104">
  <si>
    <t>Number of Cylinders</t>
  </si>
  <si>
    <t>Stock Bore (in)</t>
  </si>
  <si>
    <t>Head Chamber (cc)</t>
  </si>
  <si>
    <t>Gasket Compressed Thickness (in)</t>
  </si>
  <si>
    <t>Gasket Bore Opening (in)</t>
  </si>
  <si>
    <t>Piston Dish(+Vol) or Dome(-Vol) (cc)</t>
  </si>
  <si>
    <t>Block Deck Height (in)</t>
  </si>
  <si>
    <t>Piston Compression Height (in)</t>
  </si>
  <si>
    <t>Bore Oversize (in)</t>
  </si>
  <si>
    <t>Stroke Length (in)</t>
  </si>
  <si>
    <t>Rod Length (in)</t>
  </si>
  <si>
    <t>cu in</t>
  </si>
  <si>
    <t>liter</t>
  </si>
  <si>
    <t>cc</t>
  </si>
  <si>
    <t>in</t>
  </si>
  <si>
    <t>Cylinder Swept Volume</t>
  </si>
  <si>
    <t>Finish Bore Size</t>
  </si>
  <si>
    <t>Deck Clearance Volume</t>
  </si>
  <si>
    <t>Gasket Opening Volume</t>
  </si>
  <si>
    <t>Head Chamber</t>
  </si>
  <si>
    <t>Piston Dish/Dome</t>
  </si>
  <si>
    <t>Piston Valve Relief</t>
  </si>
  <si>
    <t>Total BDC Cylinder Volume</t>
  </si>
  <si>
    <t>Total TDC Cylinder Volume</t>
  </si>
  <si>
    <t>Engine Displacement</t>
  </si>
  <si>
    <t>Piston Valve Relief (+Vol) (cc)</t>
  </si>
  <si>
    <t>Computed Deck Clearance Height</t>
  </si>
  <si>
    <t>Just the Facts</t>
  </si>
  <si>
    <t>Dynamic Stroke Length (in)</t>
  </si>
  <si>
    <t>(or Manually Enter) Deck Clearance Height (in)</t>
  </si>
  <si>
    <t>Swept Vol, Dyn. Portion (cu in)</t>
  </si>
  <si>
    <t>cm</t>
  </si>
  <si>
    <t>NOTES</t>
  </si>
  <si>
    <t>Short Rod dwell time is slower at BDC range and faster at TDC range.  Long Rod is faster at BDC range and slower at TDC range.</t>
  </si>
  <si>
    <t>Short rod delivers force to crankpin sooner (less crank angle after TDC) than long rod.</t>
  </si>
  <si>
    <t>Crank Radius (Half Stroke)</t>
  </si>
  <si>
    <t>degrees</t>
  </si>
  <si>
    <t>Rod_Length/Stroke   Ratio</t>
  </si>
  <si>
    <t>Original CR</t>
  </si>
  <si>
    <t>This is the percentage increase in thermal efficiency that can theoretically be had by raising the compression from a lower to a higher level.</t>
  </si>
  <si>
    <t>% Gain</t>
  </si>
  <si>
    <t>Theoretical % Gain</t>
  </si>
  <si>
    <t>Adiabatic Expansion Coefficient of Air</t>
  </si>
  <si>
    <t>Stroke</t>
  </si>
  <si>
    <t>Rod Length</t>
  </si>
  <si>
    <t>======&gt;</t>
  </si>
  <si>
    <t>Cylinder Static Compression Ratio (CR) (x:1)</t>
  </si>
  <si>
    <t>Thermal Efficiency:</t>
  </si>
  <si>
    <t>Thermal Efficiency (Using Dynamic CR)</t>
  </si>
  <si>
    <t>A maximum piston speed of 4500 feet per minute for a well built (internally balanced, 4340NT crank, 4340 rods with cap bolts, steel pins, forged pistons, and a suitable valvetrain) street/strip engine is around the limit for reliability. Production engine's are generally good up to around 3800-4000 feet per minute. Racing engines such Nextel Cup, F1, Indy, and even sportbikes have piston speeds exceeding 4800 feet per minute and maybe exceeding 5000.</t>
  </si>
  <si>
    <t>---</t>
  </si>
  <si>
    <t>Pist/Rod Angle @ 90 deg After TDC</t>
  </si>
  <si>
    <t>MPH</t>
  </si>
  <si>
    <t>ft/min</t>
  </si>
  <si>
    <t>Crank Degrees Rotation (from TDC)</t>
  </si>
  <si>
    <t>Piston Top Position from Deck (in)</t>
  </si>
  <si>
    <t>Total Dynamic Cylinder Vol. (cu in)</t>
  </si>
  <si>
    <t>in/sec</t>
  </si>
  <si>
    <t>Revolutions/sec</t>
  </si>
  <si>
    <t>Specify RPM</t>
  </si>
  <si>
    <t>Piston Wrist Pin Centerline Height @ Crank Angle</t>
  </si>
  <si>
    <t>secs from TDC</t>
  </si>
  <si>
    <t>Stock 383/440 Magnum cam specs:</t>
  </si>
  <si>
    <t>.450/.458 Lift</t>
  </si>
  <si>
    <t>115° LSA</t>
  </si>
  <si>
    <t>113° Intake centerline ATDC</t>
  </si>
  <si>
    <t>118° Exhaust centerline BTDC</t>
  </si>
  <si>
    <t>Piston Compression Height (1970)</t>
  </si>
  <si>
    <t>Piston Compression Height (1971)</t>
  </si>
  <si>
    <t>Approx. 1.85</t>
  </si>
  <si>
    <t>Effective Intake Closing (Crank ABDC)</t>
  </si>
  <si>
    <t>in/sec^2</t>
  </si>
  <si>
    <t>Deck Height</t>
  </si>
  <si>
    <t>Bore Size</t>
  </si>
  <si>
    <t>Cylinder Dynamic Compression Ratio (DCR) (x:1)</t>
  </si>
  <si>
    <t xml:space="preserve">Compare to DCR of </t>
  </si>
  <si>
    <t>Short Rod -- Minimum Rod/Stroke Ratio -- 1.60   Maximum Rod/Stroke Ratio -- 1.80</t>
  </si>
  <si>
    <t>Long Rod -- Minimum Rod/Stroke Ratio -- 1.81   Maximum Rod/Stroke Ratio -- 2.00</t>
  </si>
  <si>
    <t>Crankshaft Revolution and Piston Speeds</t>
  </si>
  <si>
    <t>New CR</t>
  </si>
  <si>
    <t>Stock Chrysler 383 HP</t>
  </si>
  <si>
    <t xml:space="preserve">Optimal Squish Clearance </t>
  </si>
  <si>
    <t>Degrees Cam Advanced(-) or Retarded(+)</t>
  </si>
  <si>
    <t>Dynamic Stroke (needs correct rod length)</t>
  </si>
  <si>
    <t>Crank Angle (deg)</t>
  </si>
  <si>
    <t>Intake Closing (Crank Deg After BDC)</t>
  </si>
  <si>
    <t>Mean (Average) Piston Velocity</t>
  </si>
  <si>
    <t>Atmospheric Pres. (varies with elev.)</t>
  </si>
  <si>
    <t>Compression Pressure via CR (psi)</t>
  </si>
  <si>
    <t>Compression Pressure via DCR (psi)</t>
  </si>
  <si>
    <t>Valve Cycles per Second:</t>
  </si>
  <si>
    <t>Volumetric Efficiency, VE (percent)</t>
  </si>
  <si>
    <t>CFM, Compression, Cold Cranking Pressure (Estimated)</t>
  </si>
  <si>
    <t>Engine Cubic Feet per Minute at RPM (cfm)</t>
  </si>
  <si>
    <t>Idealized Horsepower at RPM (hp)</t>
  </si>
  <si>
    <t>Piston Accel @ Crank Angle (2nd derivative) (-decrease)</t>
  </si>
  <si>
    <t>Piston Vel @ Crank Angle (1st derivative) (-down, +up)</t>
  </si>
  <si>
    <r>
      <t>in</t>
    </r>
    <r>
      <rPr>
        <vertAlign val="superscript"/>
        <sz val="10"/>
        <rFont val="Arial"/>
        <family val="2"/>
      </rPr>
      <t>2</t>
    </r>
  </si>
  <si>
    <r>
      <t>cm</t>
    </r>
    <r>
      <rPr>
        <i/>
        <vertAlign val="superscript"/>
        <sz val="10"/>
        <rFont val="Arial"/>
        <family val="2"/>
      </rPr>
      <t>2</t>
    </r>
  </si>
  <si>
    <t xml:space="preserve">Engine Piston Area  </t>
  </si>
  <si>
    <t>cfm / hp at Peak Horsepower</t>
  </si>
  <si>
    <t>Piston to Head Squish Factor (in, 0.005 Default)</t>
  </si>
  <si>
    <t>268/284 @ .006" (advertised duration)</t>
  </si>
  <si>
    <t>208/221 @ .050"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</si>
</sst>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00"/>
    <numFmt numFmtId="171" formatCode="0.0"/>
    <numFmt numFmtId="172" formatCode="0.000000"/>
    <numFmt numFmtId="173" formatCode="0.0%"/>
    <numFmt numFmtId="174" formatCode="#,###.0&quot;%&quot;"/>
  </numFmts>
  <fonts count="70">
    <font>
      <sz val="10"/>
      <name val="Arial"/>
      <family val="0"/>
    </font>
    <font>
      <sz val="8"/>
      <name val="Arial"/>
      <family val="2"/>
    </font>
    <font>
      <b/>
      <sz val="10"/>
      <name val="Arial"/>
      <family val="2"/>
    </font>
    <font>
      <i/>
      <sz val="10"/>
      <name val="Arial"/>
      <family val="2"/>
    </font>
    <font>
      <b/>
      <u val="single"/>
      <sz val="12"/>
      <name val="Arial"/>
      <family val="2"/>
    </font>
    <font>
      <i/>
      <sz val="10"/>
      <color indexed="23"/>
      <name val="Arial"/>
      <family val="2"/>
    </font>
    <font>
      <b/>
      <u val="single"/>
      <sz val="10"/>
      <name val="Arial"/>
      <family val="2"/>
    </font>
    <font>
      <sz val="8"/>
      <name val="Tahoma"/>
      <family val="2"/>
    </font>
    <font>
      <b/>
      <sz val="8"/>
      <name val="Tahoma"/>
      <family val="2"/>
    </font>
    <font>
      <sz val="10"/>
      <name val="Verdana"/>
      <family val="2"/>
    </font>
    <font>
      <sz val="9"/>
      <name val="Arial"/>
      <family val="2"/>
    </font>
    <font>
      <sz val="10"/>
      <color indexed="54"/>
      <name val="Arial"/>
      <family val="2"/>
    </font>
    <font>
      <i/>
      <sz val="10"/>
      <color indexed="54"/>
      <name val="Arial"/>
      <family val="2"/>
    </font>
    <font>
      <sz val="9"/>
      <color indexed="62"/>
      <name val="Arial"/>
      <family val="2"/>
    </font>
    <font>
      <sz val="10"/>
      <color indexed="62"/>
      <name val="Arial"/>
      <family val="2"/>
    </font>
    <font>
      <b/>
      <sz val="10"/>
      <color indexed="62"/>
      <name val="Arial"/>
      <family val="2"/>
    </font>
    <font>
      <sz val="9"/>
      <color indexed="60"/>
      <name val="Arial"/>
      <family val="2"/>
    </font>
    <font>
      <sz val="10"/>
      <color indexed="60"/>
      <name val="Arial"/>
      <family val="2"/>
    </font>
    <font>
      <b/>
      <i/>
      <sz val="10"/>
      <color indexed="62"/>
      <name val="Arial"/>
      <family val="2"/>
    </font>
    <font>
      <u val="single"/>
      <sz val="10"/>
      <name val="Arial"/>
      <family val="2"/>
    </font>
    <font>
      <b/>
      <sz val="10.7"/>
      <name val="Arial"/>
      <family val="2"/>
    </font>
    <font>
      <sz val="9"/>
      <color indexed="8"/>
      <name val="Arial"/>
      <family val="2"/>
    </font>
    <font>
      <b/>
      <sz val="9"/>
      <name val="Tahoma"/>
      <family val="2"/>
    </font>
    <font>
      <b/>
      <sz val="10"/>
      <color indexed="23"/>
      <name val="Arial"/>
      <family val="2"/>
    </font>
    <font>
      <i/>
      <sz val="10"/>
      <color indexed="62"/>
      <name val="Arial"/>
      <family val="2"/>
    </font>
    <font>
      <vertAlign val="superscript"/>
      <sz val="10"/>
      <name val="Arial"/>
      <family val="2"/>
    </font>
    <font>
      <i/>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Verdana"/>
      <family val="2"/>
    </font>
    <font>
      <sz val="10"/>
      <color indexed="10"/>
      <name val="Verdana"/>
      <family val="2"/>
    </font>
    <font>
      <b/>
      <sz val="10"/>
      <color indexed="17"/>
      <name val="Verdana"/>
      <family val="2"/>
    </font>
    <font>
      <b/>
      <sz val="10"/>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Verdana"/>
      <family val="2"/>
    </font>
    <font>
      <sz val="10"/>
      <color rgb="FFFF0000"/>
      <name val="Verdana"/>
      <family val="2"/>
    </font>
    <font>
      <b/>
      <sz val="10"/>
      <color rgb="FF00B050"/>
      <name val="Verdana"/>
      <family val="2"/>
    </font>
    <font>
      <b/>
      <sz val="10"/>
      <color rgb="FFFF0000"/>
      <name val="Verdana"/>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11"/>
        <bgColor indexed="64"/>
      </patternFill>
    </fill>
    <fill>
      <patternFill patternType="solid">
        <fgColor indexed="46"/>
        <bgColor indexed="64"/>
      </patternFill>
    </fill>
    <fill>
      <patternFill patternType="solid">
        <fgColor theme="0" tint="-0.04997999966144562"/>
        <bgColor indexed="64"/>
      </patternFill>
    </fill>
    <fill>
      <patternFill patternType="solid">
        <fgColor indexed="49"/>
        <bgColor indexed="64"/>
      </patternFill>
    </fill>
    <fill>
      <patternFill patternType="solid">
        <fgColor rgb="FF92D050"/>
        <bgColor indexed="64"/>
      </patternFill>
    </fill>
    <fill>
      <patternFill patternType="solid">
        <fgColor indexed="5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medium"/>
      <bottom>
        <color indexed="63"/>
      </bottom>
    </border>
    <border>
      <left style="thin"/>
      <right style="thin"/>
      <top style="thin"/>
      <bottom style="medium"/>
    </border>
    <border>
      <left style="thin"/>
      <right style="thin"/>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0">
    <xf numFmtId="0" fontId="0" fillId="0" borderId="0" xfId="0" applyAlignment="1">
      <alignment/>
    </xf>
    <xf numFmtId="0" fontId="0" fillId="0" borderId="0" xfId="0" applyAlignment="1">
      <alignment/>
    </xf>
    <xf numFmtId="0" fontId="0" fillId="0" borderId="0" xfId="0" applyFill="1" applyAlignment="1">
      <alignment/>
    </xf>
    <xf numFmtId="164" fontId="0" fillId="0" borderId="0" xfId="0" applyNumberFormat="1" applyFill="1" applyAlignment="1">
      <alignment horizontal="center"/>
    </xf>
    <xf numFmtId="0" fontId="0" fillId="0" borderId="0" xfId="0" applyAlignment="1">
      <alignment horizontal="right"/>
    </xf>
    <xf numFmtId="164" fontId="0" fillId="0" borderId="0" xfId="0" applyNumberFormat="1" applyFill="1" applyAlignment="1">
      <alignment/>
    </xf>
    <xf numFmtId="0" fontId="3" fillId="0" borderId="0" xfId="0" applyFont="1" applyFill="1" applyAlignment="1">
      <alignment/>
    </xf>
    <xf numFmtId="0" fontId="4" fillId="0" borderId="0" xfId="0" applyFont="1" applyAlignment="1">
      <alignment horizontal="right"/>
    </xf>
    <xf numFmtId="0" fontId="0" fillId="33" borderId="10" xfId="0" applyFill="1" applyBorder="1" applyAlignment="1">
      <alignment horizontal="center"/>
    </xf>
    <xf numFmtId="0" fontId="3" fillId="33" borderId="10" xfId="0" applyFont="1" applyFill="1" applyBorder="1" applyAlignment="1">
      <alignment horizontal="center"/>
    </xf>
    <xf numFmtId="0" fontId="0" fillId="34" borderId="10" xfId="0" applyFill="1" applyBorder="1" applyAlignment="1">
      <alignment horizontal="right" wrapText="1"/>
    </xf>
    <xf numFmtId="164" fontId="0" fillId="34" borderId="10" xfId="0" applyNumberFormat="1" applyFill="1" applyBorder="1" applyAlignment="1">
      <alignment/>
    </xf>
    <xf numFmtId="164" fontId="3" fillId="34" borderId="10" xfId="0" applyNumberFormat="1" applyFont="1" applyFill="1" applyBorder="1" applyAlignment="1">
      <alignment/>
    </xf>
    <xf numFmtId="2" fontId="6" fillId="0" borderId="0" xfId="0" applyNumberFormat="1" applyFont="1" applyFill="1" applyAlignment="1">
      <alignment/>
    </xf>
    <xf numFmtId="0" fontId="0" fillId="35" borderId="10" xfId="0" applyFill="1" applyBorder="1" applyAlignment="1">
      <alignment horizontal="right" wrapText="1"/>
    </xf>
    <xf numFmtId="164" fontId="0" fillId="35" borderId="10" xfId="0" applyNumberFormat="1" applyFill="1" applyBorder="1" applyAlignment="1">
      <alignment/>
    </xf>
    <xf numFmtId="0" fontId="3" fillId="35" borderId="10" xfId="0" applyFont="1" applyFill="1" applyBorder="1" applyAlignment="1">
      <alignment/>
    </xf>
    <xf numFmtId="164" fontId="3" fillId="35" borderId="10" xfId="0" applyNumberFormat="1" applyFont="1" applyFill="1" applyBorder="1" applyAlignment="1">
      <alignment/>
    </xf>
    <xf numFmtId="0" fontId="0" fillId="36" borderId="10" xfId="0" applyFill="1" applyBorder="1" applyAlignment="1">
      <alignment horizontal="right" wrapText="1"/>
    </xf>
    <xf numFmtId="0" fontId="0" fillId="36" borderId="10" xfId="0" applyFill="1" applyBorder="1" applyAlignment="1">
      <alignment horizontal="right"/>
    </xf>
    <xf numFmtId="0" fontId="3" fillId="36" borderId="10" xfId="0" applyFont="1" applyFill="1" applyBorder="1" applyAlignment="1">
      <alignment/>
    </xf>
    <xf numFmtId="164" fontId="0" fillId="36" borderId="10" xfId="0" applyNumberFormat="1" applyFill="1" applyBorder="1" applyAlignment="1">
      <alignment/>
    </xf>
    <xf numFmtId="164" fontId="0" fillId="37" borderId="10" xfId="0" applyNumberFormat="1" applyFill="1" applyBorder="1" applyAlignment="1">
      <alignment/>
    </xf>
    <xf numFmtId="0" fontId="0" fillId="38" borderId="0" xfId="0" applyFill="1" applyBorder="1" applyAlignment="1">
      <alignment/>
    </xf>
    <xf numFmtId="0" fontId="0" fillId="38" borderId="11" xfId="0" applyFill="1" applyBorder="1" applyAlignment="1">
      <alignment/>
    </xf>
    <xf numFmtId="0" fontId="0" fillId="38" borderId="12" xfId="0" applyFill="1" applyBorder="1" applyAlignment="1">
      <alignment/>
    </xf>
    <xf numFmtId="0" fontId="0" fillId="38" borderId="13" xfId="0" applyFill="1" applyBorder="1" applyAlignment="1">
      <alignment/>
    </xf>
    <xf numFmtId="164" fontId="3" fillId="38" borderId="14" xfId="0" applyNumberFormat="1" applyFont="1" applyFill="1" applyBorder="1" applyAlignment="1">
      <alignment/>
    </xf>
    <xf numFmtId="164" fontId="3" fillId="38" borderId="15" xfId="0" applyNumberFormat="1" applyFont="1" applyFill="1" applyBorder="1" applyAlignment="1">
      <alignment/>
    </xf>
    <xf numFmtId="164" fontId="3" fillId="38" borderId="16" xfId="0" applyNumberFormat="1" applyFont="1" applyFill="1" applyBorder="1" applyAlignment="1">
      <alignment/>
    </xf>
    <xf numFmtId="164" fontId="3" fillId="38" borderId="11" xfId="0" applyNumberFormat="1" applyFont="1" applyFill="1" applyBorder="1" applyAlignment="1">
      <alignment/>
    </xf>
    <xf numFmtId="164" fontId="3" fillId="38" borderId="17" xfId="0" applyNumberFormat="1" applyFont="1" applyFill="1" applyBorder="1" applyAlignment="1">
      <alignment/>
    </xf>
    <xf numFmtId="164" fontId="3" fillId="38" borderId="13" xfId="0" applyNumberFormat="1" applyFont="1" applyFill="1" applyBorder="1" applyAlignment="1">
      <alignment/>
    </xf>
    <xf numFmtId="2" fontId="0" fillId="35" borderId="10" xfId="0" applyNumberFormat="1" applyFill="1" applyBorder="1" applyAlignment="1">
      <alignment/>
    </xf>
    <xf numFmtId="164" fontId="0" fillId="39" borderId="10" xfId="0" applyNumberFormat="1" applyFill="1" applyBorder="1" applyAlignment="1">
      <alignment/>
    </xf>
    <xf numFmtId="164" fontId="3" fillId="37" borderId="10" xfId="0" applyNumberFormat="1" applyFont="1" applyFill="1" applyBorder="1" applyAlignment="1">
      <alignment/>
    </xf>
    <xf numFmtId="0" fontId="5" fillId="35" borderId="10" xfId="0" applyFont="1" applyFill="1" applyBorder="1" applyAlignment="1">
      <alignment horizontal="center"/>
    </xf>
    <xf numFmtId="164" fontId="0" fillId="37" borderId="18" xfId="0" applyNumberFormat="1" applyFill="1" applyBorder="1" applyAlignment="1">
      <alignment/>
    </xf>
    <xf numFmtId="164" fontId="3" fillId="37" borderId="18" xfId="0" applyNumberFormat="1"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3" fillId="0" borderId="0" xfId="0" applyFont="1" applyFill="1" applyBorder="1" applyAlignment="1">
      <alignment/>
    </xf>
    <xf numFmtId="164" fontId="0" fillId="0" borderId="0" xfId="0" applyNumberFormat="1" applyAlignment="1">
      <alignment/>
    </xf>
    <xf numFmtId="2" fontId="11" fillId="35" borderId="10" xfId="0" applyNumberFormat="1" applyFont="1" applyFill="1" applyBorder="1" applyAlignment="1">
      <alignment horizontal="center"/>
    </xf>
    <xf numFmtId="164" fontId="11" fillId="35" borderId="10" xfId="0" applyNumberFormat="1" applyFont="1" applyFill="1" applyBorder="1" applyAlignment="1">
      <alignment horizontal="center"/>
    </xf>
    <xf numFmtId="164" fontId="12" fillId="35" borderId="10" xfId="0" applyNumberFormat="1" applyFont="1" applyFill="1" applyBorder="1" applyAlignment="1">
      <alignment horizontal="center"/>
    </xf>
    <xf numFmtId="164" fontId="11" fillId="36" borderId="10" xfId="0" applyNumberFormat="1" applyFont="1" applyFill="1" applyBorder="1" applyAlignment="1">
      <alignment horizontal="center"/>
    </xf>
    <xf numFmtId="164" fontId="12" fillId="36" borderId="10" xfId="0" applyNumberFormat="1" applyFont="1" applyFill="1" applyBorder="1" applyAlignment="1">
      <alignment horizontal="center"/>
    </xf>
    <xf numFmtId="164" fontId="11" fillId="34" borderId="10" xfId="0" applyNumberFormat="1" applyFont="1" applyFill="1" applyBorder="1" applyAlignment="1">
      <alignment horizontal="center"/>
    </xf>
    <xf numFmtId="164" fontId="12" fillId="34" borderId="10" xfId="0" applyNumberFormat="1" applyFont="1" applyFill="1" applyBorder="1" applyAlignment="1">
      <alignment horizontal="center"/>
    </xf>
    <xf numFmtId="164" fontId="11" fillId="39" borderId="10" xfId="0" applyNumberFormat="1" applyFont="1" applyFill="1" applyBorder="1" applyAlignment="1">
      <alignment horizontal="center"/>
    </xf>
    <xf numFmtId="164" fontId="11" fillId="37" borderId="18" xfId="0" applyNumberFormat="1" applyFont="1" applyFill="1" applyBorder="1" applyAlignment="1">
      <alignment horizontal="center"/>
    </xf>
    <xf numFmtId="164" fontId="11" fillId="37" borderId="10" xfId="0" applyNumberFormat="1" applyFont="1" applyFill="1" applyBorder="1" applyAlignment="1">
      <alignment horizontal="center"/>
    </xf>
    <xf numFmtId="164" fontId="12" fillId="37" borderId="18" xfId="0" applyNumberFormat="1" applyFont="1" applyFill="1" applyBorder="1" applyAlignment="1">
      <alignment horizontal="center"/>
    </xf>
    <xf numFmtId="164" fontId="12" fillId="37" borderId="10" xfId="0" applyNumberFormat="1" applyFont="1" applyFill="1" applyBorder="1" applyAlignment="1">
      <alignment horizontal="center"/>
    </xf>
    <xf numFmtId="0" fontId="0" fillId="0" borderId="0" xfId="0" applyFill="1" applyBorder="1" applyAlignment="1">
      <alignment horizontal="right" wrapText="1"/>
    </xf>
    <xf numFmtId="164" fontId="11" fillId="0" borderId="0" xfId="0" applyNumberFormat="1" applyFont="1" applyFill="1" applyBorder="1" applyAlignment="1">
      <alignment horizontal="center"/>
    </xf>
    <xf numFmtId="164" fontId="0" fillId="0" borderId="0" xfId="0" applyNumberFormat="1" applyFill="1" applyBorder="1" applyAlignment="1">
      <alignment/>
    </xf>
    <xf numFmtId="164" fontId="12" fillId="0" borderId="0" xfId="0" applyNumberFormat="1" applyFont="1" applyFill="1" applyBorder="1" applyAlignment="1">
      <alignment horizontal="center"/>
    </xf>
    <xf numFmtId="164" fontId="3" fillId="0" borderId="0" xfId="0" applyNumberFormat="1" applyFont="1" applyFill="1" applyBorder="1" applyAlignment="1">
      <alignment/>
    </xf>
    <xf numFmtId="171" fontId="0" fillId="0" borderId="0" xfId="0" applyNumberFormat="1" applyAlignment="1">
      <alignment/>
    </xf>
    <xf numFmtId="164" fontId="0" fillId="0" borderId="0" xfId="0" applyNumberFormat="1" applyAlignment="1">
      <alignment/>
    </xf>
    <xf numFmtId="0" fontId="0" fillId="0" borderId="0" xfId="0" applyAlignment="1">
      <alignment horizontal="center"/>
    </xf>
    <xf numFmtId="164" fontId="3" fillId="0" borderId="0" xfId="0" applyNumberFormat="1" applyFont="1" applyFill="1" applyAlignment="1">
      <alignment/>
    </xf>
    <xf numFmtId="164" fontId="11" fillId="38" borderId="10" xfId="0" applyNumberFormat="1" applyFont="1" applyFill="1" applyBorder="1" applyAlignment="1">
      <alignment horizontal="center"/>
    </xf>
    <xf numFmtId="164" fontId="14" fillId="38" borderId="10" xfId="0" applyNumberFormat="1" applyFont="1" applyFill="1" applyBorder="1" applyAlignment="1">
      <alignment horizontal="center"/>
    </xf>
    <xf numFmtId="164" fontId="15" fillId="38" borderId="10" xfId="0" applyNumberFormat="1" applyFont="1" applyFill="1" applyBorder="1" applyAlignment="1">
      <alignment horizontal="center"/>
    </xf>
    <xf numFmtId="0" fontId="0" fillId="0" borderId="0" xfId="0" applyFill="1" applyAlignment="1">
      <alignment horizontal="right"/>
    </xf>
    <xf numFmtId="2" fontId="15" fillId="33" borderId="10" xfId="0" applyNumberFormat="1" applyFont="1" applyFill="1" applyBorder="1" applyAlignment="1">
      <alignment horizontal="center"/>
    </xf>
    <xf numFmtId="2" fontId="18" fillId="33" borderId="10" xfId="0" applyNumberFormat="1" applyFont="1" applyFill="1" applyBorder="1" applyAlignment="1">
      <alignment horizontal="center"/>
    </xf>
    <xf numFmtId="0" fontId="0" fillId="0" borderId="0" xfId="0" applyFill="1" applyAlignment="1">
      <alignment/>
    </xf>
    <xf numFmtId="169" fontId="0" fillId="0" borderId="0" xfId="0" applyNumberFormat="1" applyAlignment="1">
      <alignment horizontal="center"/>
    </xf>
    <xf numFmtId="0" fontId="0" fillId="40" borderId="10" xfId="0" applyFill="1" applyBorder="1" applyAlignment="1">
      <alignment horizontal="center"/>
    </xf>
    <xf numFmtId="0" fontId="0" fillId="40" borderId="10" xfId="0" applyFont="1" applyFill="1" applyBorder="1" applyAlignment="1">
      <alignment horizontal="center"/>
    </xf>
    <xf numFmtId="164" fontId="14" fillId="40" borderId="19" xfId="0" applyNumberFormat="1" applyFont="1" applyFill="1" applyBorder="1" applyAlignment="1">
      <alignment horizontal="center"/>
    </xf>
    <xf numFmtId="172" fontId="14" fillId="40" borderId="19" xfId="0" applyNumberFormat="1" applyFont="1" applyFill="1" applyBorder="1" applyAlignment="1">
      <alignment horizontal="center"/>
    </xf>
    <xf numFmtId="170" fontId="14" fillId="40" borderId="10" xfId="0" applyNumberFormat="1" applyFont="1" applyFill="1" applyBorder="1" applyAlignment="1">
      <alignment horizontal="center"/>
    </xf>
    <xf numFmtId="0" fontId="0" fillId="41" borderId="11" xfId="0" applyFont="1" applyFill="1" applyBorder="1" applyAlignment="1" quotePrefix="1">
      <alignment horizontal="center" vertical="center"/>
    </xf>
    <xf numFmtId="10" fontId="14" fillId="41" borderId="19" xfId="0" applyNumberFormat="1" applyFont="1" applyFill="1" applyBorder="1" applyAlignment="1">
      <alignment horizontal="center"/>
    </xf>
    <xf numFmtId="10" fontId="14" fillId="41" borderId="20" xfId="0" applyNumberFormat="1" applyFont="1" applyFill="1" applyBorder="1" applyAlignment="1">
      <alignment horizontal="center"/>
    </xf>
    <xf numFmtId="0" fontId="19" fillId="0" borderId="0" xfId="0" applyFont="1" applyAlignment="1">
      <alignment/>
    </xf>
    <xf numFmtId="171" fontId="14" fillId="38" borderId="18" xfId="0" applyNumberFormat="1" applyFont="1" applyFill="1" applyBorder="1" applyAlignment="1">
      <alignment horizontal="center"/>
    </xf>
    <xf numFmtId="171" fontId="14" fillId="38" borderId="21" xfId="0" applyNumberFormat="1" applyFont="1" applyFill="1" applyBorder="1" applyAlignment="1">
      <alignment horizontal="center"/>
    </xf>
    <xf numFmtId="0" fontId="16" fillId="0" borderId="22" xfId="0" applyFont="1" applyBorder="1" applyAlignment="1" applyProtection="1">
      <alignment horizontal="center"/>
      <protection locked="0"/>
    </xf>
    <xf numFmtId="0" fontId="17" fillId="0" borderId="19" xfId="0" applyFont="1" applyBorder="1" applyAlignment="1" applyProtection="1">
      <alignment horizontal="center"/>
      <protection locked="0"/>
    </xf>
    <xf numFmtId="171" fontId="0" fillId="0" borderId="10" xfId="0" applyNumberFormat="1" applyBorder="1" applyAlignment="1" applyProtection="1">
      <alignment horizontal="center"/>
      <protection locked="0"/>
    </xf>
    <xf numFmtId="0" fontId="0" fillId="0" borderId="10" xfId="0" applyNumberFormat="1" applyBorder="1" applyAlignment="1" applyProtection="1">
      <alignment horizontal="center"/>
      <protection locked="0"/>
    </xf>
    <xf numFmtId="164" fontId="0" fillId="0" borderId="10" xfId="0" applyNumberFormat="1" applyBorder="1" applyAlignment="1" applyProtection="1">
      <alignment horizontal="center"/>
      <protection locked="0"/>
    </xf>
    <xf numFmtId="0" fontId="0" fillId="38" borderId="10" xfId="0" applyFill="1" applyBorder="1" applyAlignment="1" applyProtection="1">
      <alignment/>
      <protection locked="0"/>
    </xf>
    <xf numFmtId="0" fontId="0" fillId="0" borderId="10" xfId="0" applyFill="1" applyBorder="1" applyAlignment="1" applyProtection="1">
      <alignment horizontal="center"/>
      <protection locked="0"/>
    </xf>
    <xf numFmtId="0" fontId="0" fillId="0" borderId="10" xfId="0" applyFill="1" applyBorder="1" applyAlignment="1" applyProtection="1" quotePrefix="1">
      <alignment horizontal="center"/>
      <protection locked="0"/>
    </xf>
    <xf numFmtId="0" fontId="0" fillId="38" borderId="10" xfId="0" applyFill="1" applyBorder="1" applyAlignment="1" applyProtection="1">
      <alignment horizontal="center"/>
      <protection locked="0"/>
    </xf>
    <xf numFmtId="0" fontId="0" fillId="0" borderId="10" xfId="0" applyBorder="1" applyAlignment="1" applyProtection="1">
      <alignment horizontal="center"/>
      <protection locked="0"/>
    </xf>
    <xf numFmtId="164" fontId="1" fillId="0" borderId="0" xfId="0" applyNumberFormat="1" applyFont="1" applyAlignment="1">
      <alignment wrapText="1"/>
    </xf>
    <xf numFmtId="0" fontId="0" fillId="39" borderId="10" xfId="0" applyFill="1" applyBorder="1" applyAlignment="1">
      <alignment horizontal="right"/>
    </xf>
    <xf numFmtId="0" fontId="0" fillId="37" borderId="18" xfId="0" applyFill="1" applyBorder="1" applyAlignment="1">
      <alignment horizontal="right"/>
    </xf>
    <xf numFmtId="0" fontId="0" fillId="37" borderId="10" xfId="0" applyFill="1" applyBorder="1" applyAlignment="1">
      <alignment horizontal="right"/>
    </xf>
    <xf numFmtId="0" fontId="10" fillId="41" borderId="10" xfId="0" applyFont="1" applyFill="1" applyBorder="1" applyAlignment="1">
      <alignment/>
    </xf>
    <xf numFmtId="10" fontId="15" fillId="41" borderId="10" xfId="0" applyNumberFormat="1" applyFont="1" applyFill="1" applyBorder="1" applyAlignment="1">
      <alignment horizontal="center"/>
    </xf>
    <xf numFmtId="0" fontId="16" fillId="41" borderId="10" xfId="0" applyFont="1" applyFill="1" applyBorder="1" applyAlignment="1">
      <alignment horizontal="center"/>
    </xf>
    <xf numFmtId="0" fontId="0" fillId="0" borderId="0" xfId="0" applyFont="1" applyAlignment="1">
      <alignment/>
    </xf>
    <xf numFmtId="0" fontId="0" fillId="0" borderId="0" xfId="0" applyFont="1" applyFill="1" applyBorder="1" applyAlignment="1">
      <alignment horizontal="right" wrapText="1"/>
    </xf>
    <xf numFmtId="164" fontId="11" fillId="0" borderId="0" xfId="0" applyNumberFormat="1" applyFont="1" applyFill="1" applyBorder="1" applyAlignment="1">
      <alignment horizontal="center"/>
    </xf>
    <xf numFmtId="164" fontId="0" fillId="0" borderId="0" xfId="0" applyNumberFormat="1" applyFont="1" applyFill="1" applyBorder="1" applyAlignment="1">
      <alignment/>
    </xf>
    <xf numFmtId="164" fontId="12" fillId="0" borderId="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21" fillId="0" borderId="0" xfId="0" applyFont="1" applyAlignment="1">
      <alignment/>
    </xf>
    <xf numFmtId="164" fontId="14" fillId="40" borderId="10" xfId="0" applyNumberFormat="1" applyFont="1" applyFill="1" applyBorder="1" applyAlignment="1">
      <alignment horizontal="center"/>
    </xf>
    <xf numFmtId="171" fontId="9" fillId="0" borderId="10" xfId="0" applyNumberFormat="1" applyFont="1" applyBorder="1" applyAlignment="1">
      <alignment vertical="top" wrapText="1"/>
    </xf>
    <xf numFmtId="0" fontId="0" fillId="42" borderId="14" xfId="0" applyFill="1" applyBorder="1" applyAlignment="1">
      <alignment/>
    </xf>
    <xf numFmtId="20" fontId="65" fillId="42" borderId="10" xfId="0" applyNumberFormat="1" applyFont="1" applyFill="1" applyBorder="1" applyAlignment="1">
      <alignment vertical="top" wrapText="1"/>
    </xf>
    <xf numFmtId="0" fontId="0" fillId="0" borderId="19" xfId="0" applyFill="1" applyBorder="1" applyAlignment="1" applyProtection="1">
      <alignment horizontal="center"/>
      <protection locked="0"/>
    </xf>
    <xf numFmtId="0" fontId="0" fillId="0" borderId="10" xfId="0" applyBorder="1" applyAlignment="1" applyProtection="1">
      <alignment/>
      <protection locked="0"/>
    </xf>
    <xf numFmtId="0" fontId="0" fillId="0" borderId="10" xfId="0" applyBorder="1" applyAlignment="1" applyProtection="1">
      <alignment horizontal="right" wrapText="1"/>
      <protection locked="0"/>
    </xf>
    <xf numFmtId="0" fontId="0" fillId="38" borderId="14" xfId="0" applyFill="1" applyBorder="1" applyAlignment="1" applyProtection="1">
      <alignment/>
      <protection locked="0"/>
    </xf>
    <xf numFmtId="0" fontId="0" fillId="38" borderId="14" xfId="0" applyFill="1" applyBorder="1" applyAlignment="1" applyProtection="1">
      <alignment wrapText="1"/>
      <protection locked="0"/>
    </xf>
    <xf numFmtId="0" fontId="0" fillId="38" borderId="17" xfId="0" applyFill="1" applyBorder="1" applyAlignment="1" applyProtection="1">
      <alignment wrapText="1"/>
      <protection locked="0"/>
    </xf>
    <xf numFmtId="0" fontId="0" fillId="38" borderId="23" xfId="0" applyFill="1" applyBorder="1" applyAlignment="1" applyProtection="1">
      <alignment/>
      <protection locked="0"/>
    </xf>
    <xf numFmtId="0" fontId="0" fillId="38" borderId="23" xfId="0" applyFill="1" applyBorder="1" applyAlignment="1" applyProtection="1">
      <alignment wrapText="1"/>
      <protection locked="0"/>
    </xf>
    <xf numFmtId="0" fontId="0" fillId="38" borderId="24" xfId="0" applyFill="1" applyBorder="1" applyAlignment="1" applyProtection="1">
      <alignment wrapText="1"/>
      <protection locked="0"/>
    </xf>
    <xf numFmtId="0" fontId="0" fillId="38" borderId="25" xfId="0" applyFill="1" applyBorder="1" applyAlignment="1" applyProtection="1">
      <alignment wrapText="1"/>
      <protection locked="0"/>
    </xf>
    <xf numFmtId="0" fontId="0" fillId="38" borderId="15" xfId="0" applyFill="1" applyBorder="1" applyAlignment="1" applyProtection="1">
      <alignment wrapText="1"/>
      <protection locked="0"/>
    </xf>
    <xf numFmtId="0" fontId="0" fillId="38" borderId="26" xfId="0" applyFill="1" applyBorder="1" applyAlignment="1" applyProtection="1">
      <alignment wrapText="1"/>
      <protection locked="0"/>
    </xf>
    <xf numFmtId="0" fontId="0" fillId="38" borderId="15" xfId="0" applyFill="1" applyBorder="1" applyAlignment="1" applyProtection="1">
      <alignment/>
      <protection locked="0"/>
    </xf>
    <xf numFmtId="0" fontId="0" fillId="38" borderId="24" xfId="0" applyFill="1" applyBorder="1" applyAlignment="1" applyProtection="1">
      <alignment/>
      <protection locked="0"/>
    </xf>
    <xf numFmtId="0" fontId="0" fillId="38" borderId="25" xfId="0" applyFill="1" applyBorder="1" applyAlignment="1" applyProtection="1">
      <alignment/>
      <protection locked="0"/>
    </xf>
    <xf numFmtId="0" fontId="0" fillId="38" borderId="25" xfId="0" applyFill="1" applyBorder="1" applyAlignment="1" applyProtection="1">
      <alignment horizontal="right"/>
      <protection locked="0"/>
    </xf>
    <xf numFmtId="0" fontId="0" fillId="38" borderId="25" xfId="0" applyFill="1" applyBorder="1" applyAlignment="1" applyProtection="1">
      <alignment/>
      <protection locked="0"/>
    </xf>
    <xf numFmtId="0" fontId="3" fillId="38" borderId="25" xfId="0" applyFont="1" applyFill="1" applyBorder="1" applyAlignment="1" applyProtection="1">
      <alignment/>
      <protection locked="0"/>
    </xf>
    <xf numFmtId="0" fontId="3" fillId="38" borderId="26" xfId="0" applyFont="1" applyFill="1" applyBorder="1" applyAlignment="1" applyProtection="1">
      <alignment/>
      <protection locked="0"/>
    </xf>
    <xf numFmtId="0" fontId="0" fillId="38" borderId="12" xfId="0" applyFill="1" applyBorder="1" applyAlignment="1" applyProtection="1">
      <alignment wrapText="1"/>
      <protection locked="0"/>
    </xf>
    <xf numFmtId="0" fontId="0" fillId="38" borderId="13" xfId="0" applyFill="1" applyBorder="1" applyAlignment="1" applyProtection="1">
      <alignment wrapText="1"/>
      <protection locked="0"/>
    </xf>
    <xf numFmtId="0" fontId="0" fillId="36" borderId="10" xfId="0" applyFill="1" applyBorder="1" applyAlignment="1">
      <alignment horizontal="right" vertical="center" wrapText="1"/>
    </xf>
    <xf numFmtId="164" fontId="11" fillId="36" borderId="10" xfId="0" applyNumberFormat="1" applyFont="1" applyFill="1" applyBorder="1" applyAlignment="1">
      <alignment horizontal="center" vertical="center"/>
    </xf>
    <xf numFmtId="164" fontId="0" fillId="36" borderId="10" xfId="0" applyNumberFormat="1" applyFill="1" applyBorder="1" applyAlignment="1">
      <alignment vertical="center"/>
    </xf>
    <xf numFmtId="164" fontId="12" fillId="36" borderId="10" xfId="0" applyNumberFormat="1" applyFont="1" applyFill="1" applyBorder="1" applyAlignment="1">
      <alignment horizontal="center" vertical="center"/>
    </xf>
    <xf numFmtId="164" fontId="3" fillId="36" borderId="10" xfId="0" applyNumberFormat="1" applyFont="1" applyFill="1" applyBorder="1" applyAlignment="1">
      <alignment vertical="center"/>
    </xf>
    <xf numFmtId="164" fontId="23" fillId="36" borderId="10" xfId="0" applyNumberFormat="1" applyFont="1" applyFill="1" applyBorder="1" applyAlignment="1">
      <alignment horizontal="center"/>
    </xf>
    <xf numFmtId="0" fontId="3" fillId="40" borderId="10" xfId="0" applyFont="1" applyFill="1" applyBorder="1" applyAlignment="1">
      <alignment horizontal="center"/>
    </xf>
    <xf numFmtId="164" fontId="24" fillId="40" borderId="27" xfId="0" applyNumberFormat="1" applyFont="1" applyFill="1" applyBorder="1" applyAlignment="1">
      <alignment horizontal="center"/>
    </xf>
    <xf numFmtId="164" fontId="0" fillId="0" borderId="10" xfId="0" applyNumberFormat="1" applyBorder="1" applyAlignment="1">
      <alignment horizontal="center"/>
    </xf>
    <xf numFmtId="164" fontId="14" fillId="43" borderId="21" xfId="0" applyNumberFormat="1" applyFont="1" applyFill="1" applyBorder="1" applyAlignment="1">
      <alignment horizontal="center"/>
    </xf>
    <xf numFmtId="164" fontId="14" fillId="44" borderId="10" xfId="0" applyNumberFormat="1" applyFont="1" applyFill="1" applyBorder="1" applyAlignment="1">
      <alignment horizontal="center"/>
    </xf>
    <xf numFmtId="173" fontId="0" fillId="0" borderId="10" xfId="0" applyNumberFormat="1" applyBorder="1" applyAlignment="1">
      <alignment horizontal="center"/>
    </xf>
    <xf numFmtId="164" fontId="14" fillId="43" borderId="10" xfId="0" applyNumberFormat="1" applyFont="1" applyFill="1" applyBorder="1" applyAlignment="1">
      <alignment horizontal="center"/>
    </xf>
    <xf numFmtId="164" fontId="0" fillId="0" borderId="24" xfId="0" applyNumberFormat="1" applyBorder="1" applyAlignment="1" applyProtection="1">
      <alignment horizontal="center"/>
      <protection locked="0"/>
    </xf>
    <xf numFmtId="164" fontId="0" fillId="42" borderId="24" xfId="0" applyNumberFormat="1" applyFill="1" applyBorder="1" applyAlignment="1" applyProtection="1">
      <alignment horizontal="center"/>
      <protection locked="0"/>
    </xf>
    <xf numFmtId="0" fontId="0" fillId="35" borderId="28" xfId="0" applyFill="1" applyBorder="1" applyAlignment="1">
      <alignment horizontal="right"/>
    </xf>
    <xf numFmtId="164" fontId="0" fillId="35" borderId="28" xfId="0" applyNumberFormat="1" applyFill="1" applyBorder="1" applyAlignment="1">
      <alignment horizontal="right" wrapText="1"/>
    </xf>
    <xf numFmtId="164" fontId="0" fillId="35" borderId="28" xfId="0" applyNumberFormat="1" applyFont="1" applyFill="1" applyBorder="1" applyAlignment="1">
      <alignment horizontal="right" wrapText="1"/>
    </xf>
    <xf numFmtId="164" fontId="0" fillId="35" borderId="10" xfId="0" applyNumberFormat="1" applyFont="1" applyFill="1" applyBorder="1" applyAlignment="1">
      <alignment horizontal="right" wrapText="1"/>
    </xf>
    <xf numFmtId="164" fontId="0" fillId="35" borderId="10" xfId="0" applyNumberFormat="1" applyFont="1" applyFill="1" applyBorder="1" applyAlignment="1">
      <alignment/>
    </xf>
    <xf numFmtId="164" fontId="0" fillId="42" borderId="18" xfId="0" applyNumberFormat="1" applyFill="1" applyBorder="1" applyAlignment="1" applyProtection="1">
      <alignment horizontal="center"/>
      <protection locked="0"/>
    </xf>
    <xf numFmtId="0" fontId="0" fillId="40" borderId="22" xfId="0" applyFont="1" applyFill="1" applyBorder="1" applyAlignment="1">
      <alignment horizontal="center"/>
    </xf>
    <xf numFmtId="0" fontId="0" fillId="40" borderId="22" xfId="0" applyFill="1" applyBorder="1" applyAlignment="1">
      <alignment horizontal="center"/>
    </xf>
    <xf numFmtId="0" fontId="0" fillId="43" borderId="24" xfId="0" applyFont="1" applyFill="1" applyBorder="1" applyAlignment="1">
      <alignment horizontal="right"/>
    </xf>
    <xf numFmtId="0" fontId="0" fillId="43" borderId="26" xfId="0" applyFill="1" applyBorder="1" applyAlignment="1">
      <alignment horizontal="right"/>
    </xf>
    <xf numFmtId="0" fontId="0" fillId="43" borderId="29" xfId="0" applyFont="1" applyFill="1" applyBorder="1" applyAlignment="1">
      <alignment horizontal="right"/>
    </xf>
    <xf numFmtId="0" fontId="0" fillId="43" borderId="30" xfId="0" applyFill="1" applyBorder="1" applyAlignment="1">
      <alignment horizontal="right"/>
    </xf>
    <xf numFmtId="0" fontId="0" fillId="43" borderId="17" xfId="0" applyFont="1" applyFill="1" applyBorder="1" applyAlignment="1">
      <alignment horizontal="right"/>
    </xf>
    <xf numFmtId="0" fontId="0" fillId="43" borderId="13" xfId="0" applyFont="1" applyFill="1" applyBorder="1" applyAlignment="1">
      <alignment horizontal="right"/>
    </xf>
    <xf numFmtId="0" fontId="6" fillId="0" borderId="12" xfId="0" applyFont="1" applyBorder="1" applyAlignment="1">
      <alignment horizontal="left"/>
    </xf>
    <xf numFmtId="0" fontId="13" fillId="41" borderId="31" xfId="0" applyFont="1" applyFill="1" applyBorder="1" applyAlignment="1">
      <alignment horizontal="right"/>
    </xf>
    <xf numFmtId="0" fontId="13" fillId="41" borderId="32" xfId="0" applyFont="1" applyFill="1" applyBorder="1" applyAlignment="1">
      <alignment horizontal="right"/>
    </xf>
    <xf numFmtId="0" fontId="2" fillId="38" borderId="10" xfId="0" applyFont="1" applyFill="1" applyBorder="1" applyAlignment="1">
      <alignment horizontal="right"/>
    </xf>
    <xf numFmtId="0" fontId="0" fillId="38" borderId="10" xfId="0" applyFill="1" applyBorder="1" applyAlignment="1">
      <alignment horizontal="right"/>
    </xf>
    <xf numFmtId="0" fontId="0" fillId="43" borderId="24" xfId="0" applyFill="1" applyBorder="1" applyAlignment="1">
      <alignment horizontal="right"/>
    </xf>
    <xf numFmtId="0" fontId="0" fillId="38" borderId="10" xfId="0" applyFont="1" applyFill="1" applyBorder="1" applyAlignment="1">
      <alignment horizontal="right"/>
    </xf>
    <xf numFmtId="0" fontId="20" fillId="45" borderId="10" xfId="0" applyFont="1" applyFill="1" applyBorder="1" applyAlignment="1">
      <alignment horizontal="center" wrapText="1"/>
    </xf>
    <xf numFmtId="164" fontId="15" fillId="45" borderId="10" xfId="0" applyNumberFormat="1" applyFont="1" applyFill="1" applyBorder="1" applyAlignment="1">
      <alignment horizontal="center"/>
    </xf>
    <xf numFmtId="0" fontId="2" fillId="33" borderId="10" xfId="0" applyFont="1" applyFill="1" applyBorder="1" applyAlignment="1">
      <alignment horizontal="center"/>
    </xf>
    <xf numFmtId="0" fontId="0" fillId="40" borderId="31" xfId="0" applyFont="1" applyFill="1" applyBorder="1" applyAlignment="1">
      <alignment horizontal="center"/>
    </xf>
    <xf numFmtId="0" fontId="0" fillId="40" borderId="33" xfId="0" applyFill="1" applyBorder="1" applyAlignment="1">
      <alignment horizontal="center"/>
    </xf>
    <xf numFmtId="0" fontId="0" fillId="40" borderId="32" xfId="0" applyFill="1" applyBorder="1" applyAlignment="1">
      <alignment horizontal="center"/>
    </xf>
    <xf numFmtId="0" fontId="0" fillId="40" borderId="31" xfId="0" applyFont="1" applyFill="1" applyBorder="1" applyAlignment="1">
      <alignment horizontal="center"/>
    </xf>
    <xf numFmtId="0" fontId="0" fillId="40" borderId="33" xfId="0" applyFont="1" applyFill="1" applyBorder="1" applyAlignment="1">
      <alignment horizontal="center"/>
    </xf>
    <xf numFmtId="0" fontId="0" fillId="40" borderId="32" xfId="0" applyFont="1" applyFill="1" applyBorder="1" applyAlignment="1">
      <alignment horizontal="center"/>
    </xf>
    <xf numFmtId="0" fontId="0" fillId="38" borderId="18" xfId="0" applyFill="1" applyBorder="1" applyAlignment="1">
      <alignment horizontal="right"/>
    </xf>
    <xf numFmtId="0" fontId="0" fillId="44" borderId="24" xfId="0" applyFont="1" applyFill="1" applyBorder="1" applyAlignment="1">
      <alignment horizontal="right"/>
    </xf>
    <xf numFmtId="0" fontId="0" fillId="44" borderId="25" xfId="0" applyFont="1" applyFill="1" applyBorder="1" applyAlignment="1">
      <alignment horizontal="right"/>
    </xf>
    <xf numFmtId="0" fontId="0" fillId="38" borderId="24" xfId="0" applyFont="1" applyFill="1" applyBorder="1" applyAlignment="1">
      <alignment horizontal="right"/>
    </xf>
    <xf numFmtId="0" fontId="0" fillId="38" borderId="26" xfId="0" applyFill="1" applyBorder="1" applyAlignment="1">
      <alignment horizontal="right"/>
    </xf>
    <xf numFmtId="0" fontId="0" fillId="38" borderId="29" xfId="0" applyFill="1" applyBorder="1" applyAlignment="1">
      <alignment horizontal="right"/>
    </xf>
    <xf numFmtId="0" fontId="0" fillId="38" borderId="30" xfId="0" applyFill="1" applyBorder="1" applyAlignment="1">
      <alignment horizontal="right"/>
    </xf>
    <xf numFmtId="0" fontId="6" fillId="0" borderId="12" xfId="0" applyFont="1" applyFill="1" applyBorder="1" applyAlignment="1">
      <alignment horizontal="left"/>
    </xf>
    <xf numFmtId="0" fontId="0" fillId="41" borderId="34" xfId="0" applyFont="1" applyFill="1" applyBorder="1" applyAlignment="1">
      <alignment horizontal="right"/>
    </xf>
    <xf numFmtId="0" fontId="0" fillId="41" borderId="35" xfId="0" applyFont="1" applyFill="1" applyBorder="1" applyAlignment="1">
      <alignment horizontal="right"/>
    </xf>
    <xf numFmtId="0" fontId="6" fillId="0" borderId="0" xfId="0" applyFont="1" applyFill="1" applyBorder="1" applyAlignment="1">
      <alignment horizontal="left"/>
    </xf>
    <xf numFmtId="20" fontId="66" fillId="42" borderId="19" xfId="0" applyNumberFormat="1" applyFont="1" applyFill="1" applyBorder="1" applyAlignment="1">
      <alignment vertical="top" wrapText="1"/>
    </xf>
    <xf numFmtId="20" fontId="66" fillId="42" borderId="18" xfId="0" applyNumberFormat="1" applyFont="1" applyFill="1" applyBorder="1" applyAlignment="1">
      <alignment vertical="top" wrapText="1"/>
    </xf>
    <xf numFmtId="0" fontId="67" fillId="42" borderId="27" xfId="0" applyFont="1" applyFill="1" applyBorder="1" applyAlignment="1">
      <alignment horizontal="right" wrapText="1"/>
    </xf>
    <xf numFmtId="0" fontId="67" fillId="42" borderId="18" xfId="0" applyFont="1" applyFill="1" applyBorder="1" applyAlignment="1">
      <alignment horizontal="right" wrapText="1"/>
    </xf>
    <xf numFmtId="0" fontId="0" fillId="0" borderId="23" xfId="0" applyBorder="1" applyAlignment="1">
      <alignment horizontal="center"/>
    </xf>
    <xf numFmtId="0" fontId="68" fillId="42" borderId="25" xfId="0" applyFont="1" applyFill="1" applyBorder="1" applyAlignment="1">
      <alignment horizontal="center" vertical="center" wrapText="1"/>
    </xf>
    <xf numFmtId="0" fontId="68" fillId="42" borderId="26" xfId="0" applyFont="1" applyFill="1" applyBorder="1" applyAlignment="1">
      <alignment horizontal="center" vertical="center" wrapText="1"/>
    </xf>
    <xf numFmtId="164" fontId="1" fillId="0" borderId="0" xfId="0" applyNumberFormat="1" applyFont="1" applyAlignment="1">
      <alignment wrapText="1"/>
    </xf>
    <xf numFmtId="0" fontId="0" fillId="40" borderId="10" xfId="0" applyFont="1" applyFill="1" applyBorder="1" applyAlignment="1">
      <alignment horizontal="center"/>
    </xf>
    <xf numFmtId="0" fontId="0" fillId="35" borderId="10" xfId="0" applyFont="1" applyFill="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85" zoomScaleNormal="85" zoomScalePageLayoutView="0" workbookViewId="0" topLeftCell="A1">
      <selection activeCell="K9" sqref="K9"/>
    </sheetView>
  </sheetViews>
  <sheetFormatPr defaultColWidth="9.140625" defaultRowHeight="12.75"/>
  <cols>
    <col min="1" max="1" width="39.8515625" style="0" customWidth="1"/>
    <col min="2" max="2" width="11.28125" style="0" customWidth="1"/>
    <col min="3" max="3" width="30.8515625" style="0" customWidth="1"/>
    <col min="4" max="4" width="9.8515625" style="0" customWidth="1"/>
    <col min="5" max="5" width="7.421875" style="1" customWidth="1"/>
    <col min="6" max="6" width="10.8515625" style="6" customWidth="1"/>
    <col min="7" max="7" width="4.421875" style="6" customWidth="1"/>
    <col min="8" max="8" width="2.57421875" style="2" customWidth="1"/>
    <col min="9" max="11" width="17.8515625" style="0" customWidth="1"/>
    <col min="12" max="12" width="10.7109375" style="0" customWidth="1"/>
    <col min="13" max="15" width="13.00390625" style="0" customWidth="1"/>
  </cols>
  <sheetData>
    <row r="1" spans="1:7" ht="15.75">
      <c r="A1" s="7" t="s">
        <v>27</v>
      </c>
      <c r="B1" s="39"/>
      <c r="C1" s="39"/>
      <c r="D1" s="39"/>
      <c r="E1" s="40"/>
      <c r="F1" s="41"/>
      <c r="G1" s="41"/>
    </row>
    <row r="2" spans="1:11" ht="12.75" customHeight="1">
      <c r="A2" s="14" t="s">
        <v>0</v>
      </c>
      <c r="B2" s="86">
        <v>8</v>
      </c>
      <c r="C2" s="116"/>
      <c r="D2" s="119"/>
      <c r="E2" s="119"/>
      <c r="F2" s="119"/>
      <c r="G2" s="125"/>
      <c r="I2" s="172" t="s">
        <v>24</v>
      </c>
      <c r="J2" s="172"/>
      <c r="K2" s="172"/>
    </row>
    <row r="3" spans="1:11" ht="12.75">
      <c r="A3" s="14" t="s">
        <v>1</v>
      </c>
      <c r="B3" s="147">
        <v>4.25</v>
      </c>
      <c r="C3" s="149" t="s">
        <v>16</v>
      </c>
      <c r="D3" s="43">
        <f>B3+B4</f>
        <v>4.28</v>
      </c>
      <c r="E3" s="33" t="s">
        <v>14</v>
      </c>
      <c r="F3" s="36">
        <f>D3*2.54</f>
        <v>10.8712</v>
      </c>
      <c r="G3" s="16" t="s">
        <v>31</v>
      </c>
      <c r="I3" s="8" t="s">
        <v>11</v>
      </c>
      <c r="J3" s="9" t="s">
        <v>13</v>
      </c>
      <c r="K3" s="9" t="s">
        <v>12</v>
      </c>
    </row>
    <row r="4" spans="1:11" ht="12.75">
      <c r="A4" s="14" t="s">
        <v>8</v>
      </c>
      <c r="B4" s="147">
        <v>0.03</v>
      </c>
      <c r="C4" s="151" t="s">
        <v>15</v>
      </c>
      <c r="D4" s="44">
        <f>0.785398163397448*(D3)^2*B5</f>
        <v>53.95214143642429</v>
      </c>
      <c r="E4" s="15" t="s">
        <v>11</v>
      </c>
      <c r="F4" s="45">
        <f>D4/0.0610237</f>
        <v>884.1178335044301</v>
      </c>
      <c r="G4" s="17" t="s">
        <v>13</v>
      </c>
      <c r="I4" s="68">
        <f>0.785398163397448*B2*(B3+B4)^2*B5</f>
        <v>431.61713149139433</v>
      </c>
      <c r="J4" s="69">
        <f>I4/0.0610237</f>
        <v>7072.942668035441</v>
      </c>
      <c r="K4" s="69">
        <f>I4*0.016387064</f>
        <v>7.072937557245894</v>
      </c>
    </row>
    <row r="5" spans="1:11" ht="13.5">
      <c r="A5" s="14" t="s">
        <v>9</v>
      </c>
      <c r="B5" s="147">
        <v>3.75</v>
      </c>
      <c r="C5" s="150" t="s">
        <v>35</v>
      </c>
      <c r="D5" s="44">
        <f>B5/2</f>
        <v>1.875</v>
      </c>
      <c r="E5" s="15" t="s">
        <v>14</v>
      </c>
      <c r="F5" s="45">
        <f>D5*2.54</f>
        <v>4.7625</v>
      </c>
      <c r="G5" s="17" t="s">
        <v>31</v>
      </c>
      <c r="H5" s="5"/>
      <c r="I5" s="170" t="s">
        <v>46</v>
      </c>
      <c r="J5" s="170"/>
      <c r="K5" s="170"/>
    </row>
    <row r="6" spans="1:11" ht="12.75" customHeight="1">
      <c r="A6" s="199" t="s">
        <v>101</v>
      </c>
      <c r="B6" s="148">
        <v>0.005</v>
      </c>
      <c r="C6" s="152" t="s">
        <v>81</v>
      </c>
      <c r="D6" s="44">
        <f>(B3+B4)*B6</f>
        <v>0.021400000000000002</v>
      </c>
      <c r="E6" s="15" t="s">
        <v>14</v>
      </c>
      <c r="F6" s="45">
        <f>D6*2.54</f>
        <v>0.05435600000000001</v>
      </c>
      <c r="G6" s="17" t="s">
        <v>31</v>
      </c>
      <c r="I6" s="171">
        <f>D20/(D20-D4)</f>
        <v>9.249285648345898</v>
      </c>
      <c r="J6" s="171"/>
      <c r="K6" s="171"/>
    </row>
    <row r="7" spans="1:7" ht="12.75" customHeight="1">
      <c r="A7" s="114"/>
      <c r="B7" s="88"/>
      <c r="C7" s="152" t="s">
        <v>99</v>
      </c>
      <c r="D7" s="44">
        <f>D3^2*0.785398163397448*B2</f>
        <v>115.09790173103849</v>
      </c>
      <c r="E7" s="153" t="s">
        <v>97</v>
      </c>
      <c r="F7" s="45">
        <f>D7*2.54</f>
        <v>292.34867039683775</v>
      </c>
      <c r="G7" s="17" t="s">
        <v>98</v>
      </c>
    </row>
    <row r="8" spans="1:9" ht="12.75">
      <c r="A8" s="18" t="s">
        <v>10</v>
      </c>
      <c r="B8" s="89">
        <v>6.76</v>
      </c>
      <c r="C8" s="19" t="s">
        <v>37</v>
      </c>
      <c r="D8" s="139">
        <f>B8/B5</f>
        <v>1.8026666666666666</v>
      </c>
      <c r="E8" s="23"/>
      <c r="F8" s="23"/>
      <c r="G8" s="24"/>
      <c r="I8" s="13" t="s">
        <v>83</v>
      </c>
    </row>
    <row r="9" spans="1:11" ht="12.75">
      <c r="A9" s="19" t="s">
        <v>7</v>
      </c>
      <c r="B9" s="89">
        <v>1.32</v>
      </c>
      <c r="C9" s="19" t="s">
        <v>51</v>
      </c>
      <c r="D9" s="46">
        <f>ASIN(B5/(B8*2))/(PI()/180)</f>
        <v>16.10311358822061</v>
      </c>
      <c r="E9" s="21" t="s">
        <v>36</v>
      </c>
      <c r="F9" s="25"/>
      <c r="G9" s="26"/>
      <c r="I9" s="169" t="s">
        <v>85</v>
      </c>
      <c r="J9" s="167"/>
      <c r="K9" s="85">
        <v>39</v>
      </c>
    </row>
    <row r="10" spans="1:11" ht="12.75" customHeight="1">
      <c r="A10" s="19" t="s">
        <v>6</v>
      </c>
      <c r="B10" s="89">
        <v>9.98</v>
      </c>
      <c r="C10" s="18" t="s">
        <v>26</v>
      </c>
      <c r="D10" s="46">
        <f>IF(ISNUMBER(B11),"---",-(B5/2)-B8-(B9-B10))</f>
        <v>0.025000000000000355</v>
      </c>
      <c r="E10" s="21" t="s">
        <v>14</v>
      </c>
      <c r="F10" s="47">
        <f>IF(ISNUMBER(D10),D10*2.54,"---")</f>
        <v>0.0635000000000009</v>
      </c>
      <c r="G10" s="20" t="s">
        <v>31</v>
      </c>
      <c r="H10" s="5"/>
      <c r="I10" s="182" t="s">
        <v>82</v>
      </c>
      <c r="J10" s="183"/>
      <c r="K10" s="85">
        <v>0</v>
      </c>
    </row>
    <row r="11" spans="1:11" ht="12.75" customHeight="1" thickBot="1">
      <c r="A11" s="134" t="s">
        <v>29</v>
      </c>
      <c r="B11" s="90" t="s">
        <v>50</v>
      </c>
      <c r="C11" s="134" t="s">
        <v>17</v>
      </c>
      <c r="D11" s="135">
        <f>IF(ISNUMBER(B11),0.785398163397448*(B3+B4)^2*B11,0.785398163397448*(B3+B4)^2*D10)</f>
        <v>0.35968094290950037</v>
      </c>
      <c r="E11" s="136" t="s">
        <v>11</v>
      </c>
      <c r="F11" s="137">
        <f>D11/0.0610237</f>
        <v>5.894118890029618</v>
      </c>
      <c r="G11" s="138" t="s">
        <v>13</v>
      </c>
      <c r="H11" s="3"/>
      <c r="I11" s="184" t="s">
        <v>70</v>
      </c>
      <c r="J11" s="185"/>
      <c r="K11" s="82">
        <f>K9+K10</f>
        <v>39</v>
      </c>
    </row>
    <row r="12" spans="1:11" ht="12.75" customHeight="1">
      <c r="A12" s="115"/>
      <c r="B12" s="91"/>
      <c r="C12" s="117"/>
      <c r="D12" s="120"/>
      <c r="E12" s="120"/>
      <c r="F12" s="120"/>
      <c r="G12" s="123"/>
      <c r="I12" s="179" t="s">
        <v>54</v>
      </c>
      <c r="J12" s="179"/>
      <c r="K12" s="81">
        <f>180+K11</f>
        <v>219</v>
      </c>
    </row>
    <row r="13" spans="1:11" ht="12.75" customHeight="1">
      <c r="A13" s="10" t="s">
        <v>4</v>
      </c>
      <c r="B13" s="87">
        <v>4.3</v>
      </c>
      <c r="C13" s="118"/>
      <c r="D13" s="132"/>
      <c r="E13" s="132"/>
      <c r="F13" s="132"/>
      <c r="G13" s="133"/>
      <c r="H13" s="5"/>
      <c r="I13" s="166" t="s">
        <v>28</v>
      </c>
      <c r="J13" s="166"/>
      <c r="K13" s="66">
        <f>D5+B8-I31</f>
        <v>3.435929235059006</v>
      </c>
    </row>
    <row r="14" spans="1:12" ht="12.75" customHeight="1">
      <c r="A14" s="10" t="s">
        <v>3</v>
      </c>
      <c r="B14" s="92">
        <v>0.039</v>
      </c>
      <c r="C14" s="10" t="s">
        <v>18</v>
      </c>
      <c r="D14" s="48">
        <f>0.785398163397448*B13^2*B14</f>
        <v>0.5663584696075337</v>
      </c>
      <c r="E14" s="11" t="s">
        <v>11</v>
      </c>
      <c r="F14" s="49">
        <f>D14/0.0610237</f>
        <v>9.280959194665902</v>
      </c>
      <c r="G14" s="12" t="s">
        <v>13</v>
      </c>
      <c r="H14" s="3"/>
      <c r="I14" s="167" t="s">
        <v>30</v>
      </c>
      <c r="J14" s="167"/>
      <c r="K14" s="64">
        <f>0.785398163397448*(D3)^2*K13</f>
        <v>49.433530681452964</v>
      </c>
      <c r="L14" s="60"/>
    </row>
    <row r="15" spans="1:11" ht="12.75">
      <c r="A15" s="115"/>
      <c r="B15" s="91"/>
      <c r="C15" s="121"/>
      <c r="D15" s="122"/>
      <c r="E15" s="122"/>
      <c r="F15" s="122"/>
      <c r="G15" s="124"/>
      <c r="H15" s="5"/>
      <c r="I15" s="167" t="s">
        <v>56</v>
      </c>
      <c r="J15" s="167"/>
      <c r="K15" s="64">
        <f>K14+D11+D14+D16+D17+D18</f>
        <v>55.97375049397</v>
      </c>
    </row>
    <row r="16" spans="1:11" ht="12.75" customHeight="1">
      <c r="A16" s="94" t="s">
        <v>2</v>
      </c>
      <c r="B16" s="92">
        <v>88</v>
      </c>
      <c r="C16" s="94" t="s">
        <v>19</v>
      </c>
      <c r="D16" s="50">
        <f>B16*0.0610237</f>
        <v>5.3700856</v>
      </c>
      <c r="E16" s="34" t="s">
        <v>11</v>
      </c>
      <c r="F16" s="27"/>
      <c r="G16" s="28"/>
      <c r="H16" s="5"/>
      <c r="I16" s="167" t="s">
        <v>55</v>
      </c>
      <c r="J16" s="167"/>
      <c r="K16" s="65">
        <f>B10-((D5*COS(RADIANS(K12)))+SQRT(B8^2-D5^2*SIN(RADIANS(K12))^2)+B9)</f>
        <v>3.460929235059006</v>
      </c>
    </row>
    <row r="17" spans="1:11" ht="12.75" customHeight="1">
      <c r="A17" s="94" t="s">
        <v>5</v>
      </c>
      <c r="B17" s="92">
        <v>0</v>
      </c>
      <c r="C17" s="94" t="s">
        <v>20</v>
      </c>
      <c r="D17" s="50">
        <f>B17*0.0610237</f>
        <v>0</v>
      </c>
      <c r="E17" s="34" t="s">
        <v>11</v>
      </c>
      <c r="F17" s="29"/>
      <c r="G17" s="30"/>
      <c r="H17" s="5"/>
      <c r="I17" s="170" t="s">
        <v>74</v>
      </c>
      <c r="J17" s="170"/>
      <c r="K17" s="170"/>
    </row>
    <row r="18" spans="1:11" ht="12.75">
      <c r="A18" s="94" t="s">
        <v>25</v>
      </c>
      <c r="B18" s="92">
        <v>4</v>
      </c>
      <c r="C18" s="94" t="s">
        <v>21</v>
      </c>
      <c r="D18" s="50">
        <f>B18*0.0610237</f>
        <v>0.2440948</v>
      </c>
      <c r="E18" s="34" t="s">
        <v>11</v>
      </c>
      <c r="F18" s="31"/>
      <c r="G18" s="32"/>
      <c r="I18" s="171">
        <f>K15/(K15-K14)</f>
        <v>8.558389794001162</v>
      </c>
      <c r="J18" s="171"/>
      <c r="K18" s="171"/>
    </row>
    <row r="19" spans="1:8" ht="12.75">
      <c r="A19" s="126"/>
      <c r="B19" s="127"/>
      <c r="C19" s="128"/>
      <c r="D19" s="127"/>
      <c r="E19" s="129"/>
      <c r="F19" s="130"/>
      <c r="G19" s="131"/>
      <c r="H19" s="5"/>
    </row>
    <row r="20" spans="3:11" ht="12.75">
      <c r="C20" s="95" t="s">
        <v>22</v>
      </c>
      <c r="D20" s="51">
        <f>D4+D11+D14+D16+D17+D18</f>
        <v>60.49236124894133</v>
      </c>
      <c r="E20" s="37" t="s">
        <v>11</v>
      </c>
      <c r="F20" s="53">
        <f>D20/0.0610237</f>
        <v>991.2929115891257</v>
      </c>
      <c r="G20" s="38" t="s">
        <v>13</v>
      </c>
      <c r="H20" s="5"/>
      <c r="I20" s="186" t="s">
        <v>48</v>
      </c>
      <c r="J20" s="186"/>
      <c r="K20" s="186"/>
    </row>
    <row r="21" spans="3:11" ht="12.75">
      <c r="C21" s="96" t="s">
        <v>23</v>
      </c>
      <c r="D21" s="52">
        <f>D20-D4</f>
        <v>6.540219812517037</v>
      </c>
      <c r="E21" s="22" t="s">
        <v>11</v>
      </c>
      <c r="F21" s="54">
        <f>D21/0.0610237</f>
        <v>107.17507808469557</v>
      </c>
      <c r="G21" s="35" t="s">
        <v>13</v>
      </c>
      <c r="H21" s="5"/>
      <c r="I21" s="99" t="s">
        <v>75</v>
      </c>
      <c r="J21" s="97" t="s">
        <v>47</v>
      </c>
      <c r="K21" s="98">
        <f>1-(1/I18^($K$24-1))</f>
        <v>0.47485119543494547</v>
      </c>
    </row>
    <row r="22" spans="3:11" ht="13.5" thickBot="1">
      <c r="C22" s="55"/>
      <c r="D22" s="56"/>
      <c r="E22" s="57"/>
      <c r="F22" s="58"/>
      <c r="G22" s="59"/>
      <c r="H22" s="5"/>
      <c r="I22" s="84">
        <v>7.276</v>
      </c>
      <c r="J22" s="77" t="s">
        <v>45</v>
      </c>
      <c r="K22" s="78">
        <f>IF(I22,1-(1/I22^($K$24-1)),"&lt;--Need CR")</f>
        <v>0.44864388848256653</v>
      </c>
    </row>
    <row r="23" spans="1:11" ht="13.5" thickBot="1">
      <c r="A23" t="s">
        <v>32</v>
      </c>
      <c r="B23" s="2"/>
      <c r="C23" s="55"/>
      <c r="D23" s="56"/>
      <c r="E23" s="57"/>
      <c r="F23" s="58"/>
      <c r="G23" s="59"/>
      <c r="H23" s="5"/>
      <c r="I23" s="187" t="s">
        <v>41</v>
      </c>
      <c r="J23" s="188"/>
      <c r="K23" s="79">
        <f>IF(K22&lt;&gt;"&lt;--Need CR",(K21-K22)/K22,"")</f>
        <v>0.05841449672037003</v>
      </c>
    </row>
    <row r="24" spans="1:11" ht="12.75">
      <c r="A24" s="108" t="s">
        <v>33</v>
      </c>
      <c r="B24" s="100"/>
      <c r="C24" s="101"/>
      <c r="D24" s="102"/>
      <c r="E24" s="103"/>
      <c r="F24" s="104"/>
      <c r="G24" s="59"/>
      <c r="I24" s="164" t="s">
        <v>42</v>
      </c>
      <c r="J24" s="165"/>
      <c r="K24" s="83">
        <v>1.3</v>
      </c>
    </row>
    <row r="25" spans="1:12" s="2" customFormat="1" ht="12.75">
      <c r="A25" s="108" t="s">
        <v>34</v>
      </c>
      <c r="B25" s="100"/>
      <c r="C25" s="100"/>
      <c r="D25" s="100"/>
      <c r="E25" s="105"/>
      <c r="F25" s="6"/>
      <c r="G25" s="6"/>
      <c r="I25"/>
      <c r="J25"/>
      <c r="K25"/>
      <c r="L25" s="62"/>
    </row>
    <row r="26" spans="1:12" s="2" customFormat="1" ht="12.75">
      <c r="A26" s="108" t="s">
        <v>76</v>
      </c>
      <c r="B26" s="100"/>
      <c r="C26" s="106"/>
      <c r="D26" s="106"/>
      <c r="E26" s="107"/>
      <c r="F26" s="6"/>
      <c r="G26" s="6"/>
      <c r="I26" s="163" t="s">
        <v>78</v>
      </c>
      <c r="J26" s="163"/>
      <c r="K26" s="163"/>
      <c r="L26" s="71"/>
    </row>
    <row r="27" spans="1:11" s="2" customFormat="1" ht="12.75" customHeight="1">
      <c r="A27" s="108" t="s">
        <v>77</v>
      </c>
      <c r="B27" s="100"/>
      <c r="C27" s="106"/>
      <c r="D27" s="106"/>
      <c r="E27" s="107"/>
      <c r="F27" s="6"/>
      <c r="G27" s="6"/>
      <c r="I27" s="72" t="s">
        <v>59</v>
      </c>
      <c r="J27" s="72" t="s">
        <v>58</v>
      </c>
      <c r="K27" s="73" t="s">
        <v>61</v>
      </c>
    </row>
    <row r="28" spans="1:11" s="2" customFormat="1" ht="13.5" thickBot="1">
      <c r="A28" s="197" t="s">
        <v>49</v>
      </c>
      <c r="B28" s="197"/>
      <c r="C28" s="197"/>
      <c r="D28" s="197"/>
      <c r="E28" s="197"/>
      <c r="F28" s="197"/>
      <c r="G28" s="197"/>
      <c r="I28" s="113">
        <v>6000</v>
      </c>
      <c r="J28" s="74">
        <f>I28/60</f>
        <v>100</v>
      </c>
      <c r="K28" s="75">
        <f>(1/(2*PI()*J28))*RADIANS(K12)</f>
        <v>0.006083333333333334</v>
      </c>
    </row>
    <row r="29" spans="1:11" s="2" customFormat="1" ht="12.75">
      <c r="A29" s="197"/>
      <c r="B29" s="197"/>
      <c r="C29" s="197"/>
      <c r="D29" s="197"/>
      <c r="E29" s="197"/>
      <c r="F29" s="197"/>
      <c r="G29" s="197"/>
      <c r="I29" s="176" t="s">
        <v>60</v>
      </c>
      <c r="J29" s="177"/>
      <c r="K29" s="178"/>
    </row>
    <row r="30" spans="1:11" s="2" customFormat="1" ht="12.75">
      <c r="A30" s="197"/>
      <c r="B30" s="197"/>
      <c r="C30" s="197"/>
      <c r="D30" s="197"/>
      <c r="E30" s="197"/>
      <c r="F30" s="197"/>
      <c r="G30" s="197"/>
      <c r="I30" s="73" t="s">
        <v>14</v>
      </c>
      <c r="J30" s="73" t="s">
        <v>31</v>
      </c>
      <c r="K30" s="140" t="s">
        <v>84</v>
      </c>
    </row>
    <row r="31" spans="1:11" s="2" customFormat="1" ht="13.5" thickBot="1">
      <c r="A31" s="93"/>
      <c r="B31" s="93"/>
      <c r="C31" s="93"/>
      <c r="D31" s="93"/>
      <c r="E31" s="93"/>
      <c r="F31" s="93"/>
      <c r="G31" s="93"/>
      <c r="I31" s="74">
        <f>(D5*COS(RADIANS(K12)))+SQRT(B8^2-((D5^2)*SIN(RADIANS(K12))^2))</f>
        <v>5.199070764940994</v>
      </c>
      <c r="J31" s="74">
        <f>I31*2.54</f>
        <v>13.205639742950124</v>
      </c>
      <c r="K31" s="141">
        <f>K12</f>
        <v>219</v>
      </c>
    </row>
    <row r="32" spans="1:11" s="2" customFormat="1" ht="12.75">
      <c r="A32" s="80" t="s">
        <v>80</v>
      </c>
      <c r="B32"/>
      <c r="E32" s="70"/>
      <c r="F32" s="6"/>
      <c r="G32" s="6"/>
      <c r="I32" s="173" t="s">
        <v>96</v>
      </c>
      <c r="J32" s="174"/>
      <c r="K32" s="175"/>
    </row>
    <row r="33" spans="1:11" s="2" customFormat="1" ht="12.75">
      <c r="A33" s="2" t="s">
        <v>72</v>
      </c>
      <c r="B33" s="2">
        <v>9.98</v>
      </c>
      <c r="G33" s="6"/>
      <c r="I33" s="72" t="s">
        <v>57</v>
      </c>
      <c r="J33" s="72" t="s">
        <v>53</v>
      </c>
      <c r="K33" s="72" t="s">
        <v>52</v>
      </c>
    </row>
    <row r="34" spans="1:11" s="2" customFormat="1" ht="13.5" thickBot="1">
      <c r="A34" s="2" t="s">
        <v>73</v>
      </c>
      <c r="B34" s="2">
        <v>4.25</v>
      </c>
      <c r="F34"/>
      <c r="G34" s="6"/>
      <c r="I34" s="74">
        <f>((-2*D5)*SIN(RADIANS(K12))*PI()*J28)-((2*D5^2*SIN(RADIANS(K12))*COS(RADIANS(K12))*PI()*J28)/SQRT(B8^2-(D5^2*SIN(RADIANS(K12))^2)))</f>
        <v>579.0966353256659</v>
      </c>
      <c r="J34" s="74">
        <f>I34/12*60</f>
        <v>2895.4831766283296</v>
      </c>
      <c r="K34" s="74">
        <f>I34/12/5280*3600</f>
        <v>32.90321791623102</v>
      </c>
    </row>
    <row r="35" spans="1:11" s="2" customFormat="1" ht="12.75">
      <c r="A35" t="s">
        <v>43</v>
      </c>
      <c r="B35">
        <v>3.375</v>
      </c>
      <c r="E35" s="70"/>
      <c r="F35" s="6"/>
      <c r="G35" s="6"/>
      <c r="I35" s="173" t="s">
        <v>95</v>
      </c>
      <c r="J35" s="174"/>
      <c r="K35" s="175"/>
    </row>
    <row r="36" spans="1:9" ht="12.75">
      <c r="A36" t="s">
        <v>44</v>
      </c>
      <c r="B36">
        <v>6.358</v>
      </c>
      <c r="C36" s="2"/>
      <c r="D36" s="2"/>
      <c r="E36" s="70"/>
      <c r="I36" s="72" t="s">
        <v>71</v>
      </c>
    </row>
    <row r="37" spans="1:9" ht="13.5" thickBot="1">
      <c r="A37" s="2" t="s">
        <v>67</v>
      </c>
      <c r="B37" s="2">
        <v>1.935</v>
      </c>
      <c r="I37" s="76">
        <f>(-1*D5*COS(RADIANS(K12)))-((D5^2*(COS(RADIANS(K12))^2-SIN(RADIANS(K12))^2))/SQRT(B8^2-(D5^2*SIN(RADIANS(K12))^2)))-((D5^4*SIN(RADIANS(K12))^2*COS(RADIANS(K12))^2)/SQRT(B8^2-(D5^2*SIN(RADIANS(K12))^2))^3)</f>
        <v>1.3373109699424732</v>
      </c>
    </row>
    <row r="38" spans="1:11" ht="12.75">
      <c r="A38" s="2" t="s">
        <v>68</v>
      </c>
      <c r="B38" s="2" t="s">
        <v>69</v>
      </c>
      <c r="I38" s="155" t="s">
        <v>86</v>
      </c>
      <c r="J38" s="156"/>
      <c r="K38" s="156"/>
    </row>
    <row r="39" spans="1:11" ht="12.75">
      <c r="A39" s="2"/>
      <c r="B39" s="2"/>
      <c r="I39" s="198" t="s">
        <v>57</v>
      </c>
      <c r="J39" s="72" t="s">
        <v>53</v>
      </c>
      <c r="K39" s="72" t="s">
        <v>52</v>
      </c>
    </row>
    <row r="40" spans="1:11" ht="12.75">
      <c r="A40" s="2" t="s">
        <v>62</v>
      </c>
      <c r="I40" s="109">
        <f>2*B5*I28/60</f>
        <v>750</v>
      </c>
      <c r="J40" s="109">
        <f>I40/12*60</f>
        <v>3750</v>
      </c>
      <c r="K40" s="109">
        <f>I40/12/5280*3600</f>
        <v>42.61363636363636</v>
      </c>
    </row>
    <row r="41" spans="1:11" ht="12.75">
      <c r="A41" t="s">
        <v>63</v>
      </c>
      <c r="I41" s="180" t="s">
        <v>90</v>
      </c>
      <c r="J41" s="181"/>
      <c r="K41" s="144">
        <f>I28/60/2</f>
        <v>50</v>
      </c>
    </row>
    <row r="42" spans="1:8" ht="12.75" customHeight="1">
      <c r="A42" s="100" t="s">
        <v>102</v>
      </c>
      <c r="C42" s="4"/>
      <c r="H42" s="6"/>
    </row>
    <row r="43" spans="1:13" ht="12.75">
      <c r="A43" s="100" t="s">
        <v>103</v>
      </c>
      <c r="I43" s="189" t="s">
        <v>92</v>
      </c>
      <c r="J43" s="189"/>
      <c r="K43" s="189"/>
      <c r="L43" s="42"/>
      <c r="M43" s="1"/>
    </row>
    <row r="44" spans="1:14" ht="12.75">
      <c r="A44" t="s">
        <v>64</v>
      </c>
      <c r="D44" s="42"/>
      <c r="E44" s="61"/>
      <c r="I44" s="168" t="s">
        <v>87</v>
      </c>
      <c r="J44" s="158"/>
      <c r="K44" s="142">
        <v>14.696</v>
      </c>
      <c r="M44" s="1"/>
      <c r="N44" s="6"/>
    </row>
    <row r="45" spans="1:11" ht="12.75">
      <c r="A45" t="s">
        <v>65</v>
      </c>
      <c r="E45" s="61"/>
      <c r="F45" s="63"/>
      <c r="I45" s="168" t="s">
        <v>91</v>
      </c>
      <c r="J45" s="158"/>
      <c r="K45" s="145">
        <v>1</v>
      </c>
    </row>
    <row r="46" spans="1:11" ht="12.75">
      <c r="A46" t="s">
        <v>66</v>
      </c>
      <c r="C46" s="67"/>
      <c r="E46" s="4"/>
      <c r="I46" s="168" t="s">
        <v>88</v>
      </c>
      <c r="J46" s="158"/>
      <c r="K46" s="146">
        <f>I6*K44*K45</f>
        <v>135.9275018880913</v>
      </c>
    </row>
    <row r="47" spans="9:11" ht="12.75">
      <c r="I47" s="157" t="s">
        <v>89</v>
      </c>
      <c r="J47" s="158"/>
      <c r="K47" s="146">
        <f>I18*K44*K45</f>
        <v>125.77409641264107</v>
      </c>
    </row>
    <row r="48" spans="3:11" ht="13.5" thickBot="1">
      <c r="C48" s="42"/>
      <c r="I48" s="159" t="s">
        <v>93</v>
      </c>
      <c r="J48" s="160"/>
      <c r="K48" s="143">
        <f>(I4*I28/3456)*K45</f>
        <v>749.3352977281152</v>
      </c>
    </row>
    <row r="49" spans="9:11" ht="12.75">
      <c r="I49" s="161" t="s">
        <v>100</v>
      </c>
      <c r="J49" s="162"/>
      <c r="K49" s="154">
        <v>1.4</v>
      </c>
    </row>
    <row r="50" spans="9:11" ht="12.75">
      <c r="I50" s="157" t="s">
        <v>94</v>
      </c>
      <c r="J50" s="158"/>
      <c r="K50" s="146">
        <f>K48/K49</f>
        <v>535.2394983772251</v>
      </c>
    </row>
    <row r="51" ht="12.75">
      <c r="I51" s="42"/>
    </row>
  </sheetData>
  <sheetProtection sheet="1"/>
  <mergeCells count="31">
    <mergeCell ref="I11:J11"/>
    <mergeCell ref="I20:K20"/>
    <mergeCell ref="I23:J23"/>
    <mergeCell ref="I17:K17"/>
    <mergeCell ref="I18:K18"/>
    <mergeCell ref="I43:K43"/>
    <mergeCell ref="I9:J9"/>
    <mergeCell ref="I5:K5"/>
    <mergeCell ref="I6:K6"/>
    <mergeCell ref="I2:K2"/>
    <mergeCell ref="I35:K35"/>
    <mergeCell ref="I29:K29"/>
    <mergeCell ref="I12:J12"/>
    <mergeCell ref="I16:J16"/>
    <mergeCell ref="I32:K32"/>
    <mergeCell ref="I10:J10"/>
    <mergeCell ref="I24:J24"/>
    <mergeCell ref="I13:J13"/>
    <mergeCell ref="I15:J15"/>
    <mergeCell ref="I14:J14"/>
    <mergeCell ref="A28:G30"/>
    <mergeCell ref="I46:J46"/>
    <mergeCell ref="I41:J41"/>
    <mergeCell ref="I44:J44"/>
    <mergeCell ref="I45:J45"/>
    <mergeCell ref="I38:K38"/>
    <mergeCell ref="I47:J47"/>
    <mergeCell ref="I48:J48"/>
    <mergeCell ref="I50:J50"/>
    <mergeCell ref="I49:J49"/>
    <mergeCell ref="I26:K26"/>
  </mergeCells>
  <printOptions/>
  <pageMargins left="0.75" right="0.75" top="1" bottom="1" header="0.5" footer="0.5"/>
  <pageSetup fitToHeight="1" fitToWidth="1" horizontalDpi="600" verticalDpi="600" orientation="portrait" scale="16" r:id="rId3"/>
  <ignoredErrors>
    <ignoredError sqref="F4" formula="1"/>
  </ignoredErrors>
  <legacyDrawing r:id="rId2"/>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1">
      <selection activeCell="A14" sqref="A14"/>
    </sheetView>
  </sheetViews>
  <sheetFormatPr defaultColWidth="9.140625" defaultRowHeight="12.75"/>
  <sheetData>
    <row r="1" ht="12.75">
      <c r="A1" t="s">
        <v>39</v>
      </c>
    </row>
    <row r="3" spans="1:9" ht="12.75" customHeight="1">
      <c r="A3" s="111"/>
      <c r="B3" s="195" t="s">
        <v>38</v>
      </c>
      <c r="C3" s="195"/>
      <c r="D3" s="195"/>
      <c r="E3" s="195"/>
      <c r="F3" s="195"/>
      <c r="G3" s="195"/>
      <c r="H3" s="195"/>
      <c r="I3" s="196"/>
    </row>
    <row r="4" spans="1:9" ht="12.75">
      <c r="A4" s="192" t="s">
        <v>79</v>
      </c>
      <c r="B4" s="190">
        <v>0.3340277777777778</v>
      </c>
      <c r="C4" s="190">
        <v>0.3756944444444445</v>
      </c>
      <c r="D4" s="190">
        <v>0.4173611111111111</v>
      </c>
      <c r="E4" s="190">
        <v>0.4590277777777778</v>
      </c>
      <c r="F4" s="190">
        <v>0.5006944444444444</v>
      </c>
      <c r="G4" s="190">
        <v>0.5423611111111112</v>
      </c>
      <c r="H4" s="190">
        <v>0.5840277777777778</v>
      </c>
      <c r="I4" s="190">
        <v>0.6256944444444444</v>
      </c>
    </row>
    <row r="5" spans="1:9" ht="12.75">
      <c r="A5" s="193"/>
      <c r="B5" s="191"/>
      <c r="C5" s="191"/>
      <c r="D5" s="191"/>
      <c r="E5" s="191"/>
      <c r="F5" s="191"/>
      <c r="G5" s="191"/>
      <c r="H5" s="191"/>
      <c r="I5" s="191"/>
    </row>
    <row r="6" spans="1:9" ht="12.75">
      <c r="A6" s="112">
        <v>0.3756944444444445</v>
      </c>
      <c r="B6" s="110">
        <v>3.5</v>
      </c>
      <c r="C6" s="110"/>
      <c r="D6" s="110"/>
      <c r="E6" s="110"/>
      <c r="F6" s="110"/>
      <c r="G6" s="110"/>
      <c r="H6" s="110"/>
      <c r="I6" s="110"/>
    </row>
    <row r="7" spans="1:9" ht="12.75">
      <c r="A7" s="112">
        <v>0.4173611111111111</v>
      </c>
      <c r="B7" s="110">
        <v>6.5</v>
      </c>
      <c r="C7" s="110">
        <v>2.9</v>
      </c>
      <c r="D7" s="110"/>
      <c r="E7" s="110"/>
      <c r="F7" s="110"/>
      <c r="G7" s="110"/>
      <c r="H7" s="110"/>
      <c r="I7" s="110"/>
    </row>
    <row r="8" spans="1:9" ht="12.75">
      <c r="A8" s="112">
        <v>0.4590277777777778</v>
      </c>
      <c r="B8" s="110">
        <v>9.2</v>
      </c>
      <c r="C8" s="110">
        <v>5.5</v>
      </c>
      <c r="D8" s="110">
        <v>2.5</v>
      </c>
      <c r="E8" s="110"/>
      <c r="F8" s="110"/>
      <c r="G8" s="110"/>
      <c r="H8" s="110"/>
      <c r="I8" s="110"/>
    </row>
    <row r="9" spans="1:9" ht="12.75">
      <c r="A9" s="112">
        <v>0.5006944444444444</v>
      </c>
      <c r="B9" s="110">
        <v>11.5</v>
      </c>
      <c r="C9" s="110">
        <v>7.7</v>
      </c>
      <c r="D9" s="110">
        <v>4.7</v>
      </c>
      <c r="E9" s="110">
        <v>2.1</v>
      </c>
      <c r="F9" s="110"/>
      <c r="G9" s="110"/>
      <c r="H9" s="110"/>
      <c r="I9" s="110"/>
    </row>
    <row r="10" spans="1:9" ht="12.75">
      <c r="A10" s="112">
        <v>0.5423611111111112</v>
      </c>
      <c r="B10" s="110">
        <v>13.6</v>
      </c>
      <c r="C10" s="110">
        <v>9.7</v>
      </c>
      <c r="D10" s="110">
        <v>6.6</v>
      </c>
      <c r="E10" s="110">
        <v>4</v>
      </c>
      <c r="F10" s="110">
        <v>1.9</v>
      </c>
      <c r="G10" s="110"/>
      <c r="H10" s="110"/>
      <c r="I10" s="110"/>
    </row>
    <row r="11" spans="1:9" ht="12.75">
      <c r="A11" s="112">
        <v>0.5840277777777778</v>
      </c>
      <c r="B11" s="110">
        <v>15.4</v>
      </c>
      <c r="C11" s="110">
        <v>11.5</v>
      </c>
      <c r="D11" s="110">
        <v>8.3</v>
      </c>
      <c r="E11" s="110">
        <v>5.7</v>
      </c>
      <c r="F11" s="110">
        <v>3.5</v>
      </c>
      <c r="G11" s="110">
        <v>1.6</v>
      </c>
      <c r="H11" s="110"/>
      <c r="I11" s="110"/>
    </row>
    <row r="12" spans="1:9" ht="12.75">
      <c r="A12" s="112">
        <v>0.6256944444444444</v>
      </c>
      <c r="B12" s="110">
        <v>17</v>
      </c>
      <c r="C12" s="110">
        <v>13</v>
      </c>
      <c r="D12" s="110">
        <v>9.8</v>
      </c>
      <c r="E12" s="110">
        <v>7.1</v>
      </c>
      <c r="F12" s="110">
        <v>4.9</v>
      </c>
      <c r="G12" s="110">
        <v>3</v>
      </c>
      <c r="H12" s="110">
        <v>1.4</v>
      </c>
      <c r="I12" s="110"/>
    </row>
    <row r="13" spans="1:9" ht="12.75">
      <c r="A13" s="112">
        <v>0.6673611111111111</v>
      </c>
      <c r="B13" s="110">
        <v>18.6</v>
      </c>
      <c r="C13" s="110">
        <v>14.5</v>
      </c>
      <c r="D13" s="110">
        <v>11.3</v>
      </c>
      <c r="E13" s="110">
        <v>8.6</v>
      </c>
      <c r="F13" s="110">
        <v>6.4</v>
      </c>
      <c r="G13" s="110">
        <v>4.4</v>
      </c>
      <c r="H13" s="110">
        <v>2.8</v>
      </c>
      <c r="I13" s="110">
        <v>1.4</v>
      </c>
    </row>
    <row r="14" spans="2:9" ht="12.75">
      <c r="B14" s="194" t="s">
        <v>40</v>
      </c>
      <c r="C14" s="194"/>
      <c r="D14" s="194"/>
      <c r="E14" s="194"/>
      <c r="F14" s="194"/>
      <c r="G14" s="194"/>
      <c r="H14" s="194"/>
      <c r="I14" s="194"/>
    </row>
  </sheetData>
  <sheetProtection/>
  <mergeCells count="11">
    <mergeCell ref="F4:F5"/>
    <mergeCell ref="G4:G5"/>
    <mergeCell ref="H4:H5"/>
    <mergeCell ref="I4:I5"/>
    <mergeCell ref="A4:A5"/>
    <mergeCell ref="B14:I14"/>
    <mergeCell ref="B3:I3"/>
    <mergeCell ref="B4:B5"/>
    <mergeCell ref="C4:C5"/>
    <mergeCell ref="D4:D5"/>
    <mergeCell ref="E4: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ERDC Vicksburg, 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Clay LaHatte</dc:creator>
  <cp:keywords/>
  <dc:description/>
  <cp:lastModifiedBy>Clay</cp:lastModifiedBy>
  <cp:lastPrinted>2010-11-24T05:39:22Z</cp:lastPrinted>
  <dcterms:created xsi:type="dcterms:W3CDTF">2010-10-27T00:15:17Z</dcterms:created>
  <dcterms:modified xsi:type="dcterms:W3CDTF">2015-07-17T05:00:21Z</dcterms:modified>
  <cp:category/>
  <cp:version/>
  <cp:contentType/>
  <cp:contentStatus/>
</cp:coreProperties>
</file>